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2-23\__Ready to Post\"/>
    </mc:Choice>
  </mc:AlternateContent>
  <bookViews>
    <workbookView xWindow="0" yWindow="0" windowWidth="24912" windowHeight="14172"/>
  </bookViews>
  <sheets>
    <sheet name="Faculty by Rank" sheetId="3" r:id="rId1"/>
    <sheet name="Data for Graph" sheetId="2" state="hidden" r:id="rId2"/>
  </sheets>
  <definedNames>
    <definedName name="_xlnm.Print_Area" localSheetId="0">'Faculty by Rank'!$A$1:$AK$68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23" i="3" l="1"/>
  <c r="AK22" i="3"/>
  <c r="AK21" i="3"/>
  <c r="AK20" i="3"/>
  <c r="AK19" i="3"/>
  <c r="AK18" i="3"/>
  <c r="AK24" i="3"/>
  <c r="AK12" i="3"/>
  <c r="AK5" i="3"/>
  <c r="AK17" i="3" l="1"/>
  <c r="AK30" i="3" s="1"/>
  <c r="AK38" i="3" l="1"/>
  <c r="AK36" i="3"/>
  <c r="AK35" i="3"/>
  <c r="AK34" i="3"/>
  <c r="AJ38" i="3"/>
  <c r="AJ37" i="3"/>
  <c r="AJ24" i="3"/>
  <c r="AJ23" i="3"/>
  <c r="AJ36" i="3" s="1"/>
  <c r="AJ22" i="3"/>
  <c r="AJ35" i="3" s="1"/>
  <c r="AJ21" i="3"/>
  <c r="AJ20" i="3"/>
  <c r="AJ33" i="3" s="1"/>
  <c r="AJ19" i="3"/>
  <c r="AJ32" i="3" s="1"/>
  <c r="AJ18" i="3"/>
  <c r="AJ31" i="3" s="1"/>
  <c r="AJ12" i="3"/>
  <c r="AJ5" i="3"/>
  <c r="AJ17" i="3" l="1"/>
  <c r="AJ30" i="3" s="1"/>
  <c r="AJ34" i="3"/>
  <c r="AI38" i="3"/>
  <c r="AI37" i="3"/>
  <c r="AI24" i="3"/>
  <c r="AI23" i="3"/>
  <c r="AI36" i="3" s="1"/>
  <c r="AI22" i="3"/>
  <c r="AI35" i="3" s="1"/>
  <c r="AI21" i="3"/>
  <c r="AI34" i="3" s="1"/>
  <c r="AI20" i="3"/>
  <c r="AI33" i="3" s="1"/>
  <c r="AI19" i="3"/>
  <c r="AI32" i="3" s="1"/>
  <c r="AI18" i="3"/>
  <c r="AI12" i="3"/>
  <c r="AI5" i="3"/>
  <c r="AI17" i="3" l="1"/>
  <c r="AI30" i="3"/>
  <c r="AI31" i="3"/>
  <c r="AH38" i="3"/>
  <c r="AH37" i="3"/>
  <c r="AH24" i="3"/>
  <c r="AH23" i="3"/>
  <c r="AH36" i="3" s="1"/>
  <c r="AH22" i="3"/>
  <c r="AH35" i="3" s="1"/>
  <c r="AH21" i="3"/>
  <c r="AH34" i="3" s="1"/>
  <c r="AH20" i="3"/>
  <c r="AH19" i="3"/>
  <c r="AH32" i="3" s="1"/>
  <c r="AH18" i="3"/>
  <c r="AH31" i="3" s="1"/>
  <c r="AH12" i="3"/>
  <c r="AH5" i="3"/>
  <c r="AH17" i="3" l="1"/>
  <c r="AH30" i="3" s="1"/>
  <c r="AH33" i="3"/>
  <c r="AG38" i="3" l="1"/>
  <c r="AF38" i="3"/>
  <c r="AE38" i="3"/>
  <c r="AD38" i="3"/>
  <c r="AC38" i="3"/>
  <c r="AB38" i="3"/>
  <c r="AA38" i="3"/>
  <c r="Z38" i="3"/>
  <c r="Y38" i="3"/>
  <c r="X38" i="3"/>
  <c r="W38" i="3"/>
  <c r="V38" i="3"/>
  <c r="S38" i="3"/>
  <c r="R38" i="3"/>
  <c r="R29" i="3" s="1"/>
  <c r="AK37" i="3"/>
  <c r="AG37" i="3"/>
  <c r="AF37" i="3"/>
  <c r="AE37" i="3"/>
  <c r="AD37" i="3"/>
  <c r="AC37" i="3"/>
  <c r="AB37" i="3"/>
  <c r="AA37" i="3"/>
  <c r="Z37" i="3"/>
  <c r="Y37" i="3"/>
  <c r="X37" i="3"/>
  <c r="W37" i="3"/>
  <c r="R37" i="3"/>
  <c r="O37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O36" i="3"/>
  <c r="I36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P35" i="3"/>
  <c r="O35" i="3"/>
  <c r="M35" i="3"/>
  <c r="L35" i="3"/>
  <c r="I35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R34" i="3"/>
  <c r="Q34" i="3"/>
  <c r="Q30" i="3" s="1"/>
  <c r="O34" i="3"/>
  <c r="AF33" i="3"/>
  <c r="AE33" i="3"/>
  <c r="AD33" i="3"/>
  <c r="AC33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P32" i="3"/>
  <c r="O32" i="3"/>
  <c r="N32" i="3"/>
  <c r="M32" i="3"/>
  <c r="L32" i="3"/>
  <c r="K32" i="3"/>
  <c r="J32" i="3"/>
  <c r="I32" i="3"/>
  <c r="H32" i="3"/>
  <c r="G32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P31" i="3"/>
  <c r="O31" i="3"/>
  <c r="N31" i="3"/>
  <c r="M31" i="3"/>
  <c r="L31" i="3"/>
  <c r="K31" i="3"/>
  <c r="J31" i="3"/>
  <c r="I31" i="3"/>
  <c r="H31" i="3"/>
  <c r="G31" i="3"/>
  <c r="F31" i="3"/>
  <c r="E31" i="3"/>
  <c r="S29" i="3"/>
  <c r="S24" i="3" s="1"/>
  <c r="Q29" i="3"/>
  <c r="P28" i="3"/>
  <c r="P37" i="3" s="1"/>
  <c r="N28" i="3"/>
  <c r="N37" i="3" s="1"/>
  <c r="M28" i="3"/>
  <c r="M37" i="3" s="1"/>
  <c r="L28" i="3"/>
  <c r="K28" i="3"/>
  <c r="K37" i="3" s="1"/>
  <c r="J28" i="3"/>
  <c r="J37" i="3" s="1"/>
  <c r="I28" i="3"/>
  <c r="I37" i="3" s="1"/>
  <c r="H28" i="3"/>
  <c r="H37" i="3" s="1"/>
  <c r="G28" i="3"/>
  <c r="G37" i="3" s="1"/>
  <c r="F28" i="3"/>
  <c r="F37" i="3" s="1"/>
  <c r="E28" i="3"/>
  <c r="E37" i="3" s="1"/>
  <c r="P27" i="3"/>
  <c r="P36" i="3" s="1"/>
  <c r="N27" i="3"/>
  <c r="N36" i="3" s="1"/>
  <c r="M27" i="3"/>
  <c r="M36" i="3" s="1"/>
  <c r="L27" i="3"/>
  <c r="L36" i="3" s="1"/>
  <c r="K27" i="3"/>
  <c r="K36" i="3" s="1"/>
  <c r="J27" i="3"/>
  <c r="J36" i="3" s="1"/>
  <c r="H27" i="3"/>
  <c r="H36" i="3" s="1"/>
  <c r="G27" i="3"/>
  <c r="G36" i="3" s="1"/>
  <c r="F27" i="3"/>
  <c r="E27" i="3"/>
  <c r="E36" i="3" s="1"/>
  <c r="N26" i="3"/>
  <c r="K26" i="3"/>
  <c r="K35" i="3" s="1"/>
  <c r="J26" i="3"/>
  <c r="J35" i="3" s="1"/>
  <c r="H26" i="3"/>
  <c r="H35" i="3" s="1"/>
  <c r="G26" i="3"/>
  <c r="G35" i="3" s="1"/>
  <c r="F26" i="3"/>
  <c r="F35" i="3" s="1"/>
  <c r="E26" i="3"/>
  <c r="E35" i="3" s="1"/>
  <c r="N25" i="3"/>
  <c r="K25" i="3"/>
  <c r="J25" i="3"/>
  <c r="H25" i="3"/>
  <c r="G25" i="3"/>
  <c r="G34" i="3" s="1"/>
  <c r="F25" i="3"/>
  <c r="F34" i="3" s="1"/>
  <c r="E25" i="3"/>
  <c r="E34" i="3" s="1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O24" i="3"/>
  <c r="AG23" i="3"/>
  <c r="AG36" i="3" s="1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R27" i="3" s="1"/>
  <c r="Q23" i="3"/>
  <c r="Q27" i="3" s="1"/>
  <c r="P23" i="3"/>
  <c r="O23" i="3"/>
  <c r="N23" i="3"/>
  <c r="M23" i="3"/>
  <c r="L23" i="3"/>
  <c r="K23" i="3"/>
  <c r="J23" i="3"/>
  <c r="I23" i="3"/>
  <c r="H23" i="3"/>
  <c r="G23" i="3"/>
  <c r="F23" i="3"/>
  <c r="E23" i="3"/>
  <c r="AG22" i="3"/>
  <c r="AG35" i="3" s="1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R26" i="3" s="1"/>
  <c r="Q22" i="3"/>
  <c r="Q26" i="3" s="1"/>
  <c r="P22" i="3"/>
  <c r="O22" i="3"/>
  <c r="N22" i="3"/>
  <c r="M22" i="3"/>
  <c r="L22" i="3"/>
  <c r="K22" i="3"/>
  <c r="J22" i="3"/>
  <c r="I22" i="3"/>
  <c r="H22" i="3"/>
  <c r="G22" i="3"/>
  <c r="F22" i="3"/>
  <c r="E22" i="3"/>
  <c r="AG21" i="3"/>
  <c r="AG34" i="3" s="1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O21" i="3"/>
  <c r="G21" i="3"/>
  <c r="F21" i="3"/>
  <c r="E21" i="3"/>
  <c r="AG20" i="3"/>
  <c r="AG33" i="3" s="1"/>
  <c r="AF20" i="3"/>
  <c r="AE20" i="3"/>
  <c r="AD20" i="3"/>
  <c r="AC20" i="3"/>
  <c r="AB20" i="3"/>
  <c r="AA20" i="3"/>
  <c r="Z20" i="3"/>
  <c r="Y20" i="3"/>
  <c r="X20" i="3"/>
  <c r="W20" i="3"/>
  <c r="V20" i="3"/>
  <c r="V37" i="3" s="1"/>
  <c r="U20" i="3"/>
  <c r="T20" i="3"/>
  <c r="S20" i="3"/>
  <c r="R20" i="3"/>
  <c r="R28" i="3" s="1"/>
  <c r="Q20" i="3"/>
  <c r="Q28" i="3" s="1"/>
  <c r="P20" i="3"/>
  <c r="O20" i="3"/>
  <c r="N20" i="3"/>
  <c r="M20" i="3"/>
  <c r="L20" i="3"/>
  <c r="K20" i="3"/>
  <c r="J20" i="3"/>
  <c r="I20" i="3"/>
  <c r="H20" i="3"/>
  <c r="G20" i="3"/>
  <c r="F20" i="3"/>
  <c r="E20" i="3"/>
  <c r="AG19" i="3"/>
  <c r="AG32" i="3" s="1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AG18" i="3"/>
  <c r="AG31" i="3" s="1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S9" i="3"/>
  <c r="S34" i="3" s="1"/>
  <c r="R9" i="3"/>
  <c r="R21" i="3" s="1"/>
  <c r="Q9" i="3"/>
  <c r="Q21" i="3" s="1"/>
  <c r="P9" i="3"/>
  <c r="P21" i="3" s="1"/>
  <c r="N9" i="3"/>
  <c r="N21" i="3" s="1"/>
  <c r="M9" i="3"/>
  <c r="M5" i="3" s="1"/>
  <c r="L9" i="3"/>
  <c r="L5" i="3" s="1"/>
  <c r="K9" i="3"/>
  <c r="K5" i="3" s="1"/>
  <c r="J9" i="3"/>
  <c r="J34" i="3" s="1"/>
  <c r="I9" i="3"/>
  <c r="I34" i="3" s="1"/>
  <c r="H9" i="3"/>
  <c r="H21" i="3" s="1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R5" i="3"/>
  <c r="Q5" i="3"/>
  <c r="P5" i="3"/>
  <c r="O5" i="3"/>
  <c r="G5" i="3"/>
  <c r="F5" i="3"/>
  <c r="E5" i="3"/>
  <c r="Z17" i="3" l="1"/>
  <c r="Q17" i="3"/>
  <c r="M24" i="3"/>
  <c r="R30" i="3"/>
  <c r="H5" i="3"/>
  <c r="R17" i="3"/>
  <c r="I5" i="3"/>
  <c r="I24" i="3"/>
  <c r="T30" i="3"/>
  <c r="AB30" i="3"/>
  <c r="AD30" i="3"/>
  <c r="U30" i="3"/>
  <c r="E17" i="3"/>
  <c r="Q25" i="3"/>
  <c r="Q24" i="3" s="1"/>
  <c r="U17" i="3"/>
  <c r="Y17" i="3"/>
  <c r="AC17" i="3"/>
  <c r="T17" i="3"/>
  <c r="X17" i="3"/>
  <c r="AB17" i="3"/>
  <c r="AF17" i="3"/>
  <c r="G17" i="3"/>
  <c r="O17" i="3"/>
  <c r="W17" i="3"/>
  <c r="AE17" i="3"/>
  <c r="F17" i="3"/>
  <c r="H24" i="3"/>
  <c r="F24" i="3"/>
  <c r="Z30" i="3"/>
  <c r="AC30" i="3"/>
  <c r="J30" i="3"/>
  <c r="J5" i="3"/>
  <c r="P17" i="3"/>
  <c r="V17" i="3"/>
  <c r="AD17" i="3"/>
  <c r="S21" i="3"/>
  <c r="L24" i="3"/>
  <c r="E30" i="3"/>
  <c r="S30" i="3"/>
  <c r="W30" i="3"/>
  <c r="AA30" i="3"/>
  <c r="AE30" i="3"/>
  <c r="N5" i="3"/>
  <c r="H17" i="3"/>
  <c r="S17" i="3"/>
  <c r="AA17" i="3"/>
  <c r="I21" i="3"/>
  <c r="I17" i="3" s="1"/>
  <c r="E24" i="3"/>
  <c r="K24" i="3"/>
  <c r="N24" i="3"/>
  <c r="X30" i="3"/>
  <c r="AF30" i="3"/>
  <c r="N35" i="3"/>
  <c r="S5" i="3"/>
  <c r="AG17" i="3"/>
  <c r="AG30" i="3" s="1"/>
  <c r="V30" i="3"/>
  <c r="G24" i="3"/>
  <c r="O30" i="3"/>
  <c r="Y30" i="3"/>
  <c r="R25" i="3"/>
  <c r="R24" i="3" s="1"/>
  <c r="G30" i="3"/>
  <c r="I30" i="3"/>
  <c r="N17" i="3"/>
  <c r="K34" i="3"/>
  <c r="K30" i="3" s="1"/>
  <c r="J21" i="3"/>
  <c r="J17" i="3" s="1"/>
  <c r="P24" i="3"/>
  <c r="L34" i="3"/>
  <c r="M34" i="3"/>
  <c r="M30" i="3" s="1"/>
  <c r="L21" i="3"/>
  <c r="L17" i="3" s="1"/>
  <c r="J24" i="3"/>
  <c r="N34" i="3"/>
  <c r="F36" i="3"/>
  <c r="F30" i="3" s="1"/>
  <c r="K21" i="3"/>
  <c r="K17" i="3" s="1"/>
  <c r="M21" i="3"/>
  <c r="M17" i="3" s="1"/>
  <c r="L37" i="3"/>
  <c r="H34" i="3"/>
  <c r="H30" i="3" s="1"/>
  <c r="P34" i="3"/>
  <c r="P30" i="3" s="1"/>
  <c r="N30" i="3" l="1"/>
  <c r="L30" i="3"/>
</calcChain>
</file>

<file path=xl/sharedStrings.xml><?xml version="1.0" encoding="utf-8"?>
<sst xmlns="http://schemas.openxmlformats.org/spreadsheetml/2006/main" count="52" uniqueCount="40">
  <si>
    <t xml:space="preserve"> </t>
  </si>
  <si>
    <t xml:space="preserve"> October Payroll Headcount</t>
  </si>
  <si>
    <t>Distinguished Professor</t>
  </si>
  <si>
    <t>University Professor</t>
  </si>
  <si>
    <t>Professor</t>
  </si>
  <si>
    <t>Associate Professor</t>
  </si>
  <si>
    <t>Assistant Professor</t>
  </si>
  <si>
    <t>Instructor</t>
  </si>
  <si>
    <t>Total Tenured and Tenure Eligible</t>
  </si>
  <si>
    <t>Lecturer/Clinician</t>
  </si>
  <si>
    <t>Morrill Professor</t>
  </si>
  <si>
    <t>Tenured</t>
  </si>
  <si>
    <t>Tenure-Eligible</t>
  </si>
  <si>
    <t>Faculty by Rank and Tenure</t>
  </si>
  <si>
    <t xml:space="preserve"> Distinguished Professor</t>
  </si>
  <si>
    <t xml:space="preserve"> University Professor</t>
  </si>
  <si>
    <t xml:space="preserve"> Professor</t>
  </si>
  <si>
    <t xml:space="preserve"> Assistant Professor</t>
  </si>
  <si>
    <t xml:space="preserve"> Morrill Professor</t>
  </si>
  <si>
    <t xml:space="preserve"> Associate Professor</t>
  </si>
  <si>
    <t xml:space="preserve"> Tenured </t>
  </si>
  <si>
    <t xml:space="preserve"> Tenure Eligible</t>
  </si>
  <si>
    <t xml:space="preserve"> Total Faculty</t>
  </si>
  <si>
    <t xml:space="preserve"> Office of Institutional Research (Data Source: Workday and e-Data Warehouse)</t>
  </si>
  <si>
    <t xml:space="preserve">    that have had a significant impact on their fields of expertise. </t>
  </si>
  <si>
    <t xml:space="preserve">    and improved ISU.</t>
  </si>
  <si>
    <t xml:space="preserve">    in undergraduate, graduate, and/or Extension/Outreach Programs.</t>
  </si>
  <si>
    <t xml:space="preserve">     The faculty numbers in this category for 2019 reflect this change.</t>
  </si>
  <si>
    <t>Term (Non-Tenure Eligible)</t>
  </si>
  <si>
    <r>
      <t xml:space="preserve">  2018 </t>
    </r>
    <r>
      <rPr>
        <vertAlign val="superscript"/>
        <sz val="9"/>
        <rFont val="Univers LT Std 45 Light"/>
        <family val="2"/>
      </rPr>
      <t>1</t>
    </r>
  </si>
  <si>
    <r>
      <t>Distinguished Professor</t>
    </r>
    <r>
      <rPr>
        <vertAlign val="superscript"/>
        <sz val="9"/>
        <rFont val="Univers 55"/>
      </rPr>
      <t>2</t>
    </r>
  </si>
  <si>
    <r>
      <t>University Professor</t>
    </r>
    <r>
      <rPr>
        <vertAlign val="superscript"/>
        <sz val="9"/>
        <rFont val="Univers 55"/>
      </rPr>
      <t>3</t>
    </r>
  </si>
  <si>
    <r>
      <t>Morrill Professor</t>
    </r>
    <r>
      <rPr>
        <vertAlign val="superscript"/>
        <sz val="9"/>
        <rFont val="Univers 55"/>
      </rPr>
      <t>4</t>
    </r>
  </si>
  <si>
    <r>
      <t>Term (Non-Tenure Eligible)</t>
    </r>
    <r>
      <rPr>
        <vertAlign val="superscript"/>
        <sz val="9"/>
        <rFont val="Univers LT Std 45 Light"/>
      </rPr>
      <t>5</t>
    </r>
  </si>
  <si>
    <r>
      <rPr>
        <vertAlign val="superscript"/>
        <sz val="8"/>
        <rFont val="Univers LT Std 45 Light"/>
      </rPr>
      <t xml:space="preserve">  1</t>
    </r>
    <r>
      <rPr>
        <sz val="8"/>
        <rFont val="Univers LT Std 45 Light"/>
      </rPr>
      <t>For all reporting years prior to 2019, data matched the e-Data Warehouse values.</t>
    </r>
  </si>
  <si>
    <r>
      <rPr>
        <vertAlign val="superscript"/>
        <sz val="8"/>
        <rFont val="Univers LT Std 45 Light"/>
      </rPr>
      <t xml:space="preserve">  2</t>
    </r>
    <r>
      <rPr>
        <sz val="8"/>
        <rFont val="Univers LT Std 45 Light"/>
      </rPr>
      <t>The Distinguished Professorship is bestowed on faculty members who have outstanding accomplishments in their research and/or creative activities</t>
    </r>
  </si>
  <si>
    <r>
      <rPr>
        <vertAlign val="superscript"/>
        <sz val="8"/>
        <rFont val="Univers LT Std 45 Light"/>
      </rPr>
      <t xml:space="preserve">  3</t>
    </r>
    <r>
      <rPr>
        <sz val="8"/>
        <rFont val="Univers LT Std 45 Light"/>
      </rPr>
      <t>The University Professorship is bestowed on faculty members who have made outstanding contributions to ISU that have significantly changed</t>
    </r>
  </si>
  <si>
    <r>
      <rPr>
        <vertAlign val="superscript"/>
        <sz val="8"/>
        <rFont val="Univers LT Std 45 Light"/>
      </rPr>
      <t xml:space="preserve">  4</t>
    </r>
    <r>
      <rPr>
        <sz val="8"/>
        <rFont val="Univers LT Std 45 Light"/>
      </rPr>
      <t>The Morrill Professorship is bestowed on faculty members who have demonstrated outstanding and sustained success in teaching and learning</t>
    </r>
  </si>
  <si>
    <r>
      <rPr>
        <vertAlign val="superscript"/>
        <sz val="8"/>
        <rFont val="Univers LT Std 45 Light"/>
      </rPr>
      <t xml:space="preserve">  5</t>
    </r>
    <r>
      <rPr>
        <sz val="8"/>
        <rFont val="Univers LT Std 45 Light"/>
      </rPr>
      <t>Beginning 2019, many Term [Non-Tenure Eligible (NTE)] Faculty positions were reclassified in Assistant, Associate, and Professor of Teaching or Practice.</t>
    </r>
  </si>
  <si>
    <t xml:space="preserve"> Last Updated: 2/12/2023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</si>
</sst>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,???"/>
    <numFmt numFmtId="165" formatCode="????"/>
    <numFmt numFmtId="166" formatCode="?,??0"/>
  </numFmts>
  <fonts count="17">
    <font>
      <sz val="10"/>
      <name val="Univers 55"/>
    </font>
    <font>
      <sz val="10"/>
      <name val="Berkeley Italic"/>
    </font>
    <font>
      <b/>
      <sz val="14"/>
      <name val="Univers 55"/>
      <family val="2"/>
    </font>
    <font>
      <i/>
      <sz val="10"/>
      <name val="Berkeley"/>
      <family val="1"/>
    </font>
    <font>
      <sz val="9"/>
      <name val="Univers 55"/>
      <family val="2"/>
    </font>
    <font>
      <b/>
      <sz val="9"/>
      <name val="Univers 45 Light"/>
      <family val="2"/>
    </font>
    <font>
      <sz val="9"/>
      <name val="Univers 65 Bold"/>
    </font>
    <font>
      <sz val="8"/>
      <name val="Univers LT Std 45 Light"/>
      <family val="2"/>
    </font>
    <font>
      <vertAlign val="superscript"/>
      <sz val="8"/>
      <name val="Univers LT Std 45 Light"/>
      <family val="2"/>
    </font>
    <font>
      <b/>
      <sz val="9"/>
      <name val="Univers LT Std 45 Light"/>
      <family val="2"/>
    </font>
    <font>
      <vertAlign val="superscript"/>
      <sz val="9"/>
      <name val="Univers LT Std 45 Light"/>
      <family val="2"/>
    </font>
    <font>
      <vertAlign val="superscript"/>
      <sz val="9"/>
      <name val="Univers 55"/>
    </font>
    <font>
      <sz val="9"/>
      <name val="Univers 55"/>
    </font>
    <font>
      <vertAlign val="superscript"/>
      <sz val="9"/>
      <name val="Univers LT Std 45 Light"/>
    </font>
    <font>
      <sz val="8"/>
      <name val="Univers LT Std 45 Light"/>
    </font>
    <font>
      <vertAlign val="superscript"/>
      <sz val="8"/>
      <name val="Univers LT Std 45 Light"/>
    </font>
    <font>
      <sz val="8"/>
      <color rgb="FFFF0000"/>
      <name val="Univers LT Std 45 Ligh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0" fontId="5" fillId="0" borderId="0" xfId="0" applyFont="1"/>
    <xf numFmtId="164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left" vertical="top"/>
    </xf>
    <xf numFmtId="164" fontId="0" fillId="0" borderId="0" xfId="0" applyNumberFormat="1"/>
    <xf numFmtId="0" fontId="2" fillId="0" borderId="0" xfId="0" applyFont="1" applyAlignment="1">
      <alignment horizontal="left"/>
    </xf>
    <xf numFmtId="0" fontId="7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6" fontId="4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right" indent="1"/>
    </xf>
    <xf numFmtId="164" fontId="0" fillId="0" borderId="0" xfId="0" applyNumberFormat="1" applyAlignment="1">
      <alignment horizontal="right" indent="1"/>
    </xf>
    <xf numFmtId="0" fontId="9" fillId="0" borderId="1" xfId="0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6" fontId="9" fillId="2" borderId="0" xfId="0" applyNumberFormat="1" applyFont="1" applyFill="1" applyAlignment="1">
      <alignment horizontal="center"/>
    </xf>
    <xf numFmtId="0" fontId="9" fillId="0" borderId="0" xfId="0" applyFont="1"/>
    <xf numFmtId="0" fontId="12" fillId="0" borderId="0" xfId="0" applyFont="1"/>
    <xf numFmtId="164" fontId="9" fillId="2" borderId="0" xfId="0" applyNumberFormat="1" applyFont="1" applyFill="1" applyAlignment="1">
      <alignment horizontal="center"/>
    </xf>
    <xf numFmtId="0" fontId="9" fillId="2" borderId="0" xfId="0" applyFont="1" applyFill="1"/>
    <xf numFmtId="164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4" fillId="0" borderId="0" xfId="0" applyFont="1"/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165" fontId="9" fillId="0" borderId="1" xfId="0" applyNumberFormat="1" applyFont="1" applyBorder="1" applyAlignment="1">
      <alignment horizontal="left" indent="1"/>
    </xf>
    <xf numFmtId="166" fontId="9" fillId="2" borderId="0" xfId="0" applyNumberFormat="1" applyFont="1" applyFill="1" applyAlignment="1">
      <alignment horizontal="left" indent="1"/>
    </xf>
    <xf numFmtId="164" fontId="9" fillId="2" borderId="0" xfId="0" applyNumberFormat="1" applyFont="1" applyFill="1" applyAlignment="1">
      <alignment horizontal="left" indent="1"/>
    </xf>
    <xf numFmtId="164" fontId="4" fillId="0" borderId="0" xfId="0" applyNumberFormat="1" applyFont="1" applyAlignment="1">
      <alignment horizontal="left" indent="1"/>
    </xf>
    <xf numFmtId="164" fontId="4" fillId="0" borderId="0" xfId="0" applyNumberFormat="1" applyFont="1" applyAlignment="1">
      <alignment horizontal="left" vertical="center" indent="1"/>
    </xf>
    <xf numFmtId="166" fontId="4" fillId="0" borderId="1" xfId="0" applyNumberFormat="1" applyFont="1" applyBorder="1" applyAlignment="1">
      <alignment horizontal="left" vertical="center" indent="1"/>
    </xf>
    <xf numFmtId="166" fontId="9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9" fillId="2" borderId="2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9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Univers 55" pitchFamily="34" charset="0"/>
              </a:defRPr>
            </a:pPr>
            <a:r>
              <a:rPr lang="en-US" sz="1400">
                <a:latin typeface="Univers 55" pitchFamily="34" charset="0"/>
              </a:rPr>
              <a:t>Number of Faculty by Tenure Status</a:t>
            </a:r>
          </a:p>
        </c:rich>
      </c:tx>
      <c:layout>
        <c:manualLayout>
          <c:xMode val="edge"/>
          <c:yMode val="edge"/>
          <c:x val="0.3297333738537282"/>
          <c:y val="8.91965772894696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4234739867731894E-2"/>
          <c:y val="0.11812903289728742"/>
          <c:w val="0.89585361992978119"/>
          <c:h val="0.78510816797923866"/>
        </c:manualLayout>
      </c:layout>
      <c:lineChart>
        <c:grouping val="standard"/>
        <c:varyColors val="0"/>
        <c:ser>
          <c:idx val="0"/>
          <c:order val="0"/>
          <c:tx>
            <c:strRef>
              <c:f>'Data for Graph'!$A$2</c:f>
              <c:strCache>
                <c:ptCount val="1"/>
                <c:pt idx="0">
                  <c:v>Tenured</c:v>
                </c:pt>
              </c:strCache>
            </c:strRef>
          </c:tx>
          <c:spPr>
            <a:ln w="47625"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Graph'!$B$1:$L$1</c15:sqref>
                  </c15:fullRef>
                </c:ext>
              </c:extLst>
              <c:f>'Data for Graph'!$C$1:$L$1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Graph'!$B$2:$L$2</c15:sqref>
                  </c15:fullRef>
                </c:ext>
              </c:extLst>
              <c:f>'Data for Graph'!$C$2:$L$2</c:f>
              <c:numCache>
                <c:formatCode>?,???</c:formatCode>
                <c:ptCount val="10"/>
                <c:pt idx="0">
                  <c:v>1013</c:v>
                </c:pt>
                <c:pt idx="1">
                  <c:v>1003</c:v>
                </c:pt>
                <c:pt idx="2">
                  <c:v>1020</c:v>
                </c:pt>
                <c:pt idx="3">
                  <c:v>997</c:v>
                </c:pt>
                <c:pt idx="4">
                  <c:v>979</c:v>
                </c:pt>
                <c:pt idx="5">
                  <c:v>986</c:v>
                </c:pt>
                <c:pt idx="6">
                  <c:v>966</c:v>
                </c:pt>
                <c:pt idx="7">
                  <c:v>981</c:v>
                </c:pt>
                <c:pt idx="8">
                  <c:v>963</c:v>
                </c:pt>
                <c:pt idx="9" formatCode="General">
                  <c:v>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18-4C23-B60C-504FACD63742}"/>
            </c:ext>
          </c:extLst>
        </c:ser>
        <c:ser>
          <c:idx val="1"/>
          <c:order val="1"/>
          <c:tx>
            <c:strRef>
              <c:f>'Data for Graph'!$A$3</c:f>
              <c:strCache>
                <c:ptCount val="1"/>
                <c:pt idx="0">
                  <c:v>Tenure-Eligible</c:v>
                </c:pt>
              </c:strCache>
            </c:strRef>
          </c:tx>
          <c:spPr>
            <a:ln w="47625"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Graph'!$B$1:$L$1</c15:sqref>
                  </c15:fullRef>
                </c:ext>
              </c:extLst>
              <c:f>'Data for Graph'!$C$1:$L$1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Graph'!$B$3:$L$3</c15:sqref>
                  </c15:fullRef>
                </c:ext>
              </c:extLst>
              <c:f>'Data for Graph'!$C$3:$L$3</c:f>
              <c:numCache>
                <c:formatCode>?,???</c:formatCode>
                <c:ptCount val="10"/>
                <c:pt idx="0">
                  <c:v>293</c:v>
                </c:pt>
                <c:pt idx="1">
                  <c:v>315</c:v>
                </c:pt>
                <c:pt idx="2">
                  <c:v>369</c:v>
                </c:pt>
                <c:pt idx="3">
                  <c:v>376</c:v>
                </c:pt>
                <c:pt idx="4">
                  <c:v>383</c:v>
                </c:pt>
                <c:pt idx="5">
                  <c:v>369</c:v>
                </c:pt>
                <c:pt idx="6">
                  <c:v>343</c:v>
                </c:pt>
                <c:pt idx="7">
                  <c:v>298</c:v>
                </c:pt>
                <c:pt idx="8">
                  <c:v>256</c:v>
                </c:pt>
                <c:pt idx="9" formatCode="General">
                  <c:v>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18-4C23-B60C-504FACD63742}"/>
            </c:ext>
          </c:extLst>
        </c:ser>
        <c:ser>
          <c:idx val="2"/>
          <c:order val="2"/>
          <c:tx>
            <c:strRef>
              <c:f>'Data for Graph'!$A$4</c:f>
              <c:strCache>
                <c:ptCount val="1"/>
                <c:pt idx="0">
                  <c:v>Term (Non-Tenure Eligible)</c:v>
                </c:pt>
              </c:strCache>
            </c:strRef>
          </c:tx>
          <c:spPr>
            <a:ln w="47625"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Graph'!$B$1:$L$1</c15:sqref>
                  </c15:fullRef>
                </c:ext>
              </c:extLst>
              <c:f>'Data for Graph'!$C$1:$L$1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Graph'!$B$4:$L$4</c15:sqref>
                  </c15:fullRef>
                </c:ext>
              </c:extLst>
              <c:f>'Data for Graph'!$C$4:$L$4</c:f>
              <c:numCache>
                <c:formatCode>?,???</c:formatCode>
                <c:ptCount val="10"/>
                <c:pt idx="0">
                  <c:v>563</c:v>
                </c:pt>
                <c:pt idx="1">
                  <c:v>574</c:v>
                </c:pt>
                <c:pt idx="2">
                  <c:v>584</c:v>
                </c:pt>
                <c:pt idx="3">
                  <c:v>596</c:v>
                </c:pt>
                <c:pt idx="4">
                  <c:v>604</c:v>
                </c:pt>
                <c:pt idx="5">
                  <c:v>578</c:v>
                </c:pt>
                <c:pt idx="6">
                  <c:v>601</c:v>
                </c:pt>
                <c:pt idx="7">
                  <c:v>581</c:v>
                </c:pt>
                <c:pt idx="8">
                  <c:v>580</c:v>
                </c:pt>
                <c:pt idx="9" formatCode="General">
                  <c:v>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18-4C23-B60C-504FACD63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8159232"/>
        <c:axId val="398160800"/>
      </c:lineChart>
      <c:catAx>
        <c:axId val="39815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>
                <a:latin typeface="Univers LT Std 45 Light" panose="020B0403020202020204" pitchFamily="34" charset="0"/>
              </a:defRPr>
            </a:pPr>
            <a:endParaRPr lang="en-US"/>
          </a:p>
        </c:txPr>
        <c:crossAx val="398160800"/>
        <c:crosses val="autoZero"/>
        <c:auto val="1"/>
        <c:lblAlgn val="ctr"/>
        <c:lblOffset val="100"/>
        <c:noMultiLvlLbl val="0"/>
      </c:catAx>
      <c:valAx>
        <c:axId val="398160800"/>
        <c:scaling>
          <c:orientation val="minMax"/>
          <c:max val="1250"/>
          <c:min val="150"/>
        </c:scaling>
        <c:delete val="0"/>
        <c:axPos val="l"/>
        <c:majorGridlines/>
        <c:numFmt formatCode="?,???" sourceLinked="1"/>
        <c:majorTickMark val="out"/>
        <c:minorTickMark val="none"/>
        <c:tickLblPos val="nextTo"/>
        <c:txPr>
          <a:bodyPr/>
          <a:lstStyle/>
          <a:p>
            <a:pPr>
              <a:defRPr sz="1050" b="1">
                <a:latin typeface="Univers LT Std 45 Light" panose="020B0403020202020204" pitchFamily="34" charset="0"/>
              </a:defRPr>
            </a:pPr>
            <a:endParaRPr lang="en-US"/>
          </a:p>
        </c:txPr>
        <c:crossAx val="398159232"/>
        <c:crosses val="autoZero"/>
        <c:crossBetween val="between"/>
        <c:majorUnit val="150"/>
      </c:valAx>
    </c:plotArea>
    <c:legend>
      <c:legendPos val="b"/>
      <c:layout>
        <c:manualLayout>
          <c:xMode val="edge"/>
          <c:yMode val="edge"/>
          <c:x val="0.13268058057576476"/>
          <c:y val="0.36938732961998044"/>
          <c:w val="0.79745118488042877"/>
          <c:h val="9.6842915800264565E-2"/>
        </c:manualLayout>
      </c:layout>
      <c:overlay val="1"/>
      <c:txPr>
        <a:bodyPr/>
        <a:lstStyle/>
        <a:p>
          <a:pPr>
            <a:defRPr sz="1000" b="1">
              <a:latin typeface="Univers LT Std 45 Light" panose="020B0403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7938</xdr:colOff>
      <xdr:row>0</xdr:row>
      <xdr:rowOff>46974</xdr:rowOff>
    </xdr:from>
    <xdr:to>
      <xdr:col>36</xdr:col>
      <xdr:colOff>573723</xdr:colOff>
      <xdr:row>1</xdr:row>
      <xdr:rowOff>4252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7938" y="46974"/>
          <a:ext cx="8505825" cy="147778"/>
          <a:chOff x="7938" y="46974"/>
          <a:chExt cx="8138160" cy="147778"/>
        </a:xfrm>
      </xdr:grpSpPr>
      <xdr:pic>
        <xdr:nvPicPr>
          <xdr:cNvPr id="3" name="Picture 27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7310" y="46974"/>
            <a:ext cx="1091602" cy="100584"/>
          </a:xfrm>
          <a:prstGeom prst="rect">
            <a:avLst/>
          </a:prstGeom>
          <a:noFill/>
        </xdr:spPr>
      </xdr:pic>
      <xdr:sp macro="" textlink="">
        <xdr:nvSpPr>
          <xdr:cNvPr id="4" name="Line 28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7938" y="194752"/>
            <a:ext cx="813816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48</xdr:row>
      <xdr:rowOff>361518</xdr:rowOff>
    </xdr:from>
    <xdr:to>
      <xdr:col>36</xdr:col>
      <xdr:colOff>523875</xdr:colOff>
      <xdr:row>64</xdr:row>
      <xdr:rowOff>46863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G3359"/>
  <sheetViews>
    <sheetView showGridLines="0" tabSelected="1" view="pageBreakPreview" zoomScaleNormal="140" zoomScaleSheetLayoutView="100" workbookViewId="0">
      <selection activeCell="A69" sqref="A69"/>
    </sheetView>
  </sheetViews>
  <sheetFormatPr defaultColWidth="11.44140625" defaultRowHeight="13.2"/>
  <cols>
    <col min="1" max="1" width="2.21875" customWidth="1"/>
    <col min="2" max="2" width="1.77734375" customWidth="1"/>
    <col min="3" max="3" width="1.21875" customWidth="1"/>
    <col min="4" max="4" width="31.5546875" customWidth="1"/>
    <col min="5" max="12" width="6.77734375" style="1" hidden="1" customWidth="1"/>
    <col min="13" max="21" width="7.21875" style="1" hidden="1" customWidth="1"/>
    <col min="22" max="23" width="7" style="1" hidden="1" customWidth="1"/>
    <col min="24" max="27" width="8.77734375" style="1" hidden="1" customWidth="1"/>
    <col min="28" max="37" width="8.77734375" style="1" customWidth="1"/>
  </cols>
  <sheetData>
    <row r="1" spans="1:111" ht="15" customHeight="1">
      <c r="A1" t="s">
        <v>0</v>
      </c>
    </row>
    <row r="2" spans="1:111" s="20" customFormat="1" ht="24" customHeight="1">
      <c r="A2" s="52" t="s">
        <v>13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2"/>
      <c r="AF2" s="2"/>
      <c r="AG2" s="2"/>
      <c r="AH2" s="2"/>
      <c r="AI2" s="2"/>
      <c r="AJ2" s="2"/>
      <c r="AK2" s="2"/>
    </row>
    <row r="3" spans="1:111" s="4" customFormat="1" ht="15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3"/>
      <c r="AF3" s="3"/>
      <c r="AG3" s="3"/>
      <c r="AH3" s="3"/>
      <c r="AI3" s="3"/>
      <c r="AJ3" s="3"/>
      <c r="AK3" s="3"/>
    </row>
    <row r="4" spans="1:111" s="27" customFormat="1" ht="24" customHeight="1">
      <c r="E4" s="28">
        <v>1990</v>
      </c>
      <c r="F4" s="28">
        <v>1991</v>
      </c>
      <c r="G4" s="28">
        <v>1992</v>
      </c>
      <c r="H4" s="28">
        <v>1993</v>
      </c>
      <c r="I4" s="28">
        <v>1994</v>
      </c>
      <c r="J4" s="28">
        <v>1995</v>
      </c>
      <c r="K4" s="28">
        <v>1996</v>
      </c>
      <c r="L4" s="28">
        <v>1997</v>
      </c>
      <c r="M4" s="28">
        <v>1998</v>
      </c>
      <c r="N4" s="28">
        <v>1999</v>
      </c>
      <c r="O4" s="28">
        <v>2000</v>
      </c>
      <c r="P4" s="28">
        <v>2001</v>
      </c>
      <c r="Q4" s="28">
        <v>2002</v>
      </c>
      <c r="R4" s="28">
        <v>2003</v>
      </c>
      <c r="S4" s="28">
        <v>2004</v>
      </c>
      <c r="T4" s="28">
        <v>2005</v>
      </c>
      <c r="U4" s="28">
        <v>2006</v>
      </c>
      <c r="V4" s="28">
        <v>2007</v>
      </c>
      <c r="W4" s="28">
        <v>2008</v>
      </c>
      <c r="X4" s="28">
        <v>2009</v>
      </c>
      <c r="Y4" s="28">
        <v>2010</v>
      </c>
      <c r="Z4" s="28">
        <v>2011</v>
      </c>
      <c r="AA4" s="28">
        <v>2012</v>
      </c>
      <c r="AB4" s="44">
        <v>2013</v>
      </c>
      <c r="AC4" s="44">
        <v>2014</v>
      </c>
      <c r="AD4" s="44">
        <v>2015</v>
      </c>
      <c r="AE4" s="44">
        <v>2016</v>
      </c>
      <c r="AF4" s="44">
        <v>2017</v>
      </c>
      <c r="AG4" s="44" t="s">
        <v>29</v>
      </c>
      <c r="AH4" s="44">
        <v>2019</v>
      </c>
      <c r="AI4" s="44">
        <v>2020</v>
      </c>
      <c r="AJ4" s="44">
        <v>2021</v>
      </c>
      <c r="AK4" s="44">
        <v>2022</v>
      </c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</row>
    <row r="5" spans="1:111" s="31" customFormat="1" ht="15" customHeight="1">
      <c r="A5" s="54" t="s">
        <v>20</v>
      </c>
      <c r="B5" s="54"/>
      <c r="C5" s="54"/>
      <c r="D5" s="54"/>
      <c r="E5" s="30">
        <f t="shared" ref="E5:AB5" si="0">SUM(E6:E11)</f>
        <v>1195</v>
      </c>
      <c r="F5" s="30">
        <f t="shared" si="0"/>
        <v>1180</v>
      </c>
      <c r="G5" s="30">
        <f t="shared" si="0"/>
        <v>1177</v>
      </c>
      <c r="H5" s="30">
        <f t="shared" si="0"/>
        <v>1191</v>
      </c>
      <c r="I5" s="30">
        <f t="shared" si="0"/>
        <v>1198</v>
      </c>
      <c r="J5" s="30">
        <f t="shared" si="0"/>
        <v>1210</v>
      </c>
      <c r="K5" s="30">
        <f t="shared" si="0"/>
        <v>1196</v>
      </c>
      <c r="L5" s="30">
        <f t="shared" si="0"/>
        <v>1162</v>
      </c>
      <c r="M5" s="30">
        <f t="shared" si="0"/>
        <v>1163</v>
      </c>
      <c r="N5" s="30">
        <f t="shared" si="0"/>
        <v>1114</v>
      </c>
      <c r="O5" s="30">
        <f t="shared" si="0"/>
        <v>1077</v>
      </c>
      <c r="P5" s="30">
        <f t="shared" si="0"/>
        <v>1059</v>
      </c>
      <c r="Q5" s="30">
        <f t="shared" si="0"/>
        <v>1020</v>
      </c>
      <c r="R5" s="30">
        <f t="shared" si="0"/>
        <v>1007</v>
      </c>
      <c r="S5" s="30">
        <f t="shared" si="0"/>
        <v>978</v>
      </c>
      <c r="T5" s="30">
        <f t="shared" si="0"/>
        <v>998</v>
      </c>
      <c r="U5" s="30">
        <f t="shared" si="0"/>
        <v>985</v>
      </c>
      <c r="V5" s="30">
        <f t="shared" si="0"/>
        <v>984</v>
      </c>
      <c r="W5" s="30">
        <f t="shared" si="0"/>
        <v>987</v>
      </c>
      <c r="X5" s="30">
        <f t="shared" si="0"/>
        <v>1018</v>
      </c>
      <c r="Y5" s="30">
        <f t="shared" si="0"/>
        <v>1008</v>
      </c>
      <c r="Z5" s="30">
        <f t="shared" si="0"/>
        <v>1007</v>
      </c>
      <c r="AA5" s="30">
        <f t="shared" si="0"/>
        <v>1028</v>
      </c>
      <c r="AB5" s="45">
        <f t="shared" si="0"/>
        <v>1013</v>
      </c>
      <c r="AC5" s="45">
        <f t="shared" ref="AC5:AH5" si="1">SUM(AC6:AC11)</f>
        <v>1003</v>
      </c>
      <c r="AD5" s="45">
        <f t="shared" si="1"/>
        <v>1020</v>
      </c>
      <c r="AE5" s="45">
        <f t="shared" si="1"/>
        <v>997</v>
      </c>
      <c r="AF5" s="45">
        <f t="shared" si="1"/>
        <v>979</v>
      </c>
      <c r="AG5" s="45">
        <f t="shared" si="1"/>
        <v>986</v>
      </c>
      <c r="AH5" s="45">
        <f t="shared" si="1"/>
        <v>966</v>
      </c>
      <c r="AI5" s="45">
        <f t="shared" ref="AI5" si="2">SUM(AI6:AI11)</f>
        <v>981</v>
      </c>
      <c r="AJ5" s="45">
        <f>SUM(AJ6:AJ11)</f>
        <v>963</v>
      </c>
      <c r="AK5" s="45">
        <f>SUM(AK6:AK11)</f>
        <v>953</v>
      </c>
    </row>
    <row r="6" spans="1:111" s="5" customFormat="1" ht="14.1" customHeight="1">
      <c r="B6" s="51" t="s">
        <v>30</v>
      </c>
      <c r="C6" s="51"/>
      <c r="D6" s="51"/>
      <c r="E6" s="6">
        <v>48</v>
      </c>
      <c r="F6" s="6">
        <v>51</v>
      </c>
      <c r="G6" s="6">
        <v>50</v>
      </c>
      <c r="H6" s="6">
        <v>52</v>
      </c>
      <c r="I6" s="7">
        <v>54</v>
      </c>
      <c r="J6" s="7">
        <v>53</v>
      </c>
      <c r="K6" s="7">
        <v>58</v>
      </c>
      <c r="L6" s="7">
        <v>58</v>
      </c>
      <c r="M6" s="7">
        <v>53</v>
      </c>
      <c r="N6" s="7">
        <v>51</v>
      </c>
      <c r="O6" s="7">
        <v>49</v>
      </c>
      <c r="P6" s="7">
        <v>47</v>
      </c>
      <c r="Q6" s="7">
        <v>43</v>
      </c>
      <c r="R6" s="7">
        <v>42</v>
      </c>
      <c r="S6" s="7">
        <v>41</v>
      </c>
      <c r="T6" s="7">
        <v>38</v>
      </c>
      <c r="U6" s="7">
        <v>39</v>
      </c>
      <c r="V6" s="7">
        <v>39</v>
      </c>
      <c r="W6" s="7">
        <v>38</v>
      </c>
      <c r="X6" s="7">
        <v>39</v>
      </c>
      <c r="Y6" s="7">
        <v>41</v>
      </c>
      <c r="Z6" s="7">
        <v>40</v>
      </c>
      <c r="AA6" s="7">
        <v>41</v>
      </c>
      <c r="AB6" s="24">
        <v>41</v>
      </c>
      <c r="AC6" s="24">
        <v>42</v>
      </c>
      <c r="AD6" s="24">
        <v>44</v>
      </c>
      <c r="AE6" s="24">
        <v>44</v>
      </c>
      <c r="AF6" s="24">
        <v>48</v>
      </c>
      <c r="AG6" s="24">
        <v>47</v>
      </c>
      <c r="AH6" s="24">
        <v>23</v>
      </c>
      <c r="AI6" s="24">
        <v>46</v>
      </c>
      <c r="AJ6" s="24">
        <v>24</v>
      </c>
      <c r="AK6" s="24">
        <v>51</v>
      </c>
    </row>
    <row r="7" spans="1:111" s="5" customFormat="1" ht="14.1" customHeight="1">
      <c r="B7" s="51" t="s">
        <v>31</v>
      </c>
      <c r="C7" s="51"/>
      <c r="D7" s="51"/>
      <c r="E7" s="6"/>
      <c r="F7" s="6"/>
      <c r="G7" s="6"/>
      <c r="H7" s="6">
        <v>9</v>
      </c>
      <c r="I7" s="7">
        <v>14</v>
      </c>
      <c r="J7" s="7">
        <v>15</v>
      </c>
      <c r="K7" s="7">
        <v>23</v>
      </c>
      <c r="L7" s="7">
        <v>27</v>
      </c>
      <c r="M7" s="7">
        <v>29</v>
      </c>
      <c r="N7" s="7">
        <v>37</v>
      </c>
      <c r="O7" s="7">
        <v>33</v>
      </c>
      <c r="P7" s="7">
        <v>36</v>
      </c>
      <c r="Q7" s="7">
        <v>35</v>
      </c>
      <c r="R7" s="7">
        <v>37</v>
      </c>
      <c r="S7" s="7">
        <v>35</v>
      </c>
      <c r="T7" s="7">
        <v>38</v>
      </c>
      <c r="U7" s="7">
        <v>40</v>
      </c>
      <c r="V7" s="7">
        <v>38</v>
      </c>
      <c r="W7" s="7">
        <v>39</v>
      </c>
      <c r="X7" s="7">
        <v>40</v>
      </c>
      <c r="Y7" s="7">
        <v>41</v>
      </c>
      <c r="Z7" s="7">
        <v>40</v>
      </c>
      <c r="AA7" s="7">
        <v>40</v>
      </c>
      <c r="AB7" s="24">
        <v>39</v>
      </c>
      <c r="AC7" s="24">
        <v>37</v>
      </c>
      <c r="AD7" s="24">
        <v>37</v>
      </c>
      <c r="AE7" s="24">
        <v>37</v>
      </c>
      <c r="AF7" s="24">
        <v>35</v>
      </c>
      <c r="AG7" s="24">
        <v>31</v>
      </c>
      <c r="AH7" s="24">
        <v>34</v>
      </c>
      <c r="AI7" s="24">
        <v>27</v>
      </c>
      <c r="AJ7" s="24">
        <v>28</v>
      </c>
      <c r="AK7" s="24">
        <v>31</v>
      </c>
    </row>
    <row r="8" spans="1:111" s="5" customFormat="1" ht="14.1" customHeight="1">
      <c r="B8" s="51" t="s">
        <v>32</v>
      </c>
      <c r="C8" s="51"/>
      <c r="D8" s="51"/>
      <c r="E8" s="6">
        <v>4</v>
      </c>
      <c r="F8" s="6">
        <v>3</v>
      </c>
      <c r="G8" s="6">
        <v>3</v>
      </c>
      <c r="H8" s="6">
        <v>3</v>
      </c>
      <c r="I8" s="7">
        <v>2</v>
      </c>
      <c r="J8" s="7">
        <v>2</v>
      </c>
      <c r="K8" s="7">
        <v>2</v>
      </c>
      <c r="L8" s="7">
        <v>1</v>
      </c>
      <c r="M8" s="7">
        <v>1</v>
      </c>
      <c r="N8" s="7">
        <v>1</v>
      </c>
      <c r="O8" s="7">
        <v>1</v>
      </c>
      <c r="P8" s="7">
        <v>1</v>
      </c>
      <c r="Q8" s="7">
        <v>1</v>
      </c>
      <c r="R8" s="7">
        <v>1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24">
        <v>3</v>
      </c>
      <c r="AC8" s="24">
        <v>6</v>
      </c>
      <c r="AD8" s="24">
        <v>9</v>
      </c>
      <c r="AE8" s="24">
        <v>10</v>
      </c>
      <c r="AF8" s="24">
        <v>11</v>
      </c>
      <c r="AG8" s="24">
        <v>11</v>
      </c>
      <c r="AH8" s="24">
        <v>5</v>
      </c>
      <c r="AI8" s="24">
        <v>16</v>
      </c>
      <c r="AJ8" s="24">
        <v>13</v>
      </c>
      <c r="AK8" s="24">
        <v>20</v>
      </c>
      <c r="AM8" s="32"/>
      <c r="AN8" s="32"/>
    </row>
    <row r="9" spans="1:111" s="5" customFormat="1" ht="14.1" customHeight="1">
      <c r="B9" s="51" t="s">
        <v>4</v>
      </c>
      <c r="C9" s="51"/>
      <c r="D9" s="51"/>
      <c r="E9" s="6">
        <v>655</v>
      </c>
      <c r="F9" s="6">
        <v>637</v>
      </c>
      <c r="G9" s="6">
        <v>632</v>
      </c>
      <c r="H9" s="6">
        <f>626-9</f>
        <v>617</v>
      </c>
      <c r="I9" s="7">
        <f>627-14</f>
        <v>613</v>
      </c>
      <c r="J9" s="7">
        <f>632-15</f>
        <v>617</v>
      </c>
      <c r="K9" s="7">
        <f>625-23</f>
        <v>602</v>
      </c>
      <c r="L9" s="7">
        <f>611-27</f>
        <v>584</v>
      </c>
      <c r="M9" s="7">
        <f>607-29</f>
        <v>578</v>
      </c>
      <c r="N9" s="7">
        <f>580-37</f>
        <v>543</v>
      </c>
      <c r="O9" s="7">
        <v>541</v>
      </c>
      <c r="P9" s="7">
        <f>558-36</f>
        <v>522</v>
      </c>
      <c r="Q9" s="7">
        <f>539-35</f>
        <v>504</v>
      </c>
      <c r="R9" s="7">
        <f>530-37</f>
        <v>493</v>
      </c>
      <c r="S9" s="7">
        <f>506-35</f>
        <v>471</v>
      </c>
      <c r="T9" s="7">
        <v>489</v>
      </c>
      <c r="U9" s="7">
        <v>483</v>
      </c>
      <c r="V9" s="7">
        <v>491</v>
      </c>
      <c r="W9" s="7">
        <v>498</v>
      </c>
      <c r="X9" s="7">
        <v>504</v>
      </c>
      <c r="Y9" s="7">
        <v>499</v>
      </c>
      <c r="Z9" s="7">
        <v>503</v>
      </c>
      <c r="AA9" s="7">
        <v>518</v>
      </c>
      <c r="AB9" s="24">
        <v>502</v>
      </c>
      <c r="AC9" s="24">
        <v>486</v>
      </c>
      <c r="AD9" s="24">
        <v>494</v>
      </c>
      <c r="AE9" s="24">
        <v>494</v>
      </c>
      <c r="AF9" s="24">
        <v>480</v>
      </c>
      <c r="AG9" s="24">
        <v>485</v>
      </c>
      <c r="AH9" s="24">
        <v>512</v>
      </c>
      <c r="AI9" s="24">
        <v>490</v>
      </c>
      <c r="AJ9" s="24">
        <v>479</v>
      </c>
      <c r="AK9" s="24">
        <v>437</v>
      </c>
      <c r="AM9" s="32"/>
      <c r="AN9" s="32"/>
    </row>
    <row r="10" spans="1:111" s="5" customFormat="1" ht="14.1" customHeight="1">
      <c r="B10" s="51" t="s">
        <v>5</v>
      </c>
      <c r="C10" s="51"/>
      <c r="D10" s="51"/>
      <c r="E10" s="6">
        <v>409</v>
      </c>
      <c r="F10" s="6">
        <v>412</v>
      </c>
      <c r="G10" s="6">
        <v>428</v>
      </c>
      <c r="H10" s="6">
        <v>447</v>
      </c>
      <c r="I10" s="7">
        <v>452</v>
      </c>
      <c r="J10" s="7">
        <v>468</v>
      </c>
      <c r="K10" s="7">
        <v>462</v>
      </c>
      <c r="L10" s="7">
        <v>454</v>
      </c>
      <c r="M10" s="7">
        <v>467</v>
      </c>
      <c r="N10" s="7">
        <v>454</v>
      </c>
      <c r="O10" s="7">
        <v>428</v>
      </c>
      <c r="P10" s="7">
        <v>429</v>
      </c>
      <c r="Q10" s="7">
        <v>419</v>
      </c>
      <c r="R10" s="7">
        <v>419</v>
      </c>
      <c r="S10" s="7">
        <v>416</v>
      </c>
      <c r="T10" s="7">
        <v>418</v>
      </c>
      <c r="U10" s="7">
        <v>408</v>
      </c>
      <c r="V10" s="7">
        <v>404</v>
      </c>
      <c r="W10" s="7">
        <v>401</v>
      </c>
      <c r="X10" s="7">
        <v>425</v>
      </c>
      <c r="Y10" s="7">
        <v>418</v>
      </c>
      <c r="Z10" s="7">
        <v>416</v>
      </c>
      <c r="AA10" s="7">
        <v>422</v>
      </c>
      <c r="AB10" s="24">
        <v>423</v>
      </c>
      <c r="AC10" s="24">
        <v>427</v>
      </c>
      <c r="AD10" s="24">
        <v>431</v>
      </c>
      <c r="AE10" s="24">
        <v>409</v>
      </c>
      <c r="AF10" s="24">
        <v>402</v>
      </c>
      <c r="AG10" s="24">
        <v>409</v>
      </c>
      <c r="AH10" s="24">
        <v>390</v>
      </c>
      <c r="AI10" s="24">
        <v>400</v>
      </c>
      <c r="AJ10" s="24">
        <v>418</v>
      </c>
      <c r="AK10" s="24">
        <v>413</v>
      </c>
      <c r="AM10" s="32"/>
      <c r="AN10" s="32"/>
    </row>
    <row r="11" spans="1:111" s="5" customFormat="1" ht="14.1" customHeight="1">
      <c r="B11" s="51" t="s">
        <v>6</v>
      </c>
      <c r="C11" s="51"/>
      <c r="D11" s="51"/>
      <c r="E11" s="6">
        <v>79</v>
      </c>
      <c r="F11" s="6">
        <v>77</v>
      </c>
      <c r="G11" s="6">
        <v>64</v>
      </c>
      <c r="H11" s="6">
        <v>63</v>
      </c>
      <c r="I11" s="7">
        <v>63</v>
      </c>
      <c r="J11" s="7">
        <v>55</v>
      </c>
      <c r="K11" s="7">
        <v>49</v>
      </c>
      <c r="L11" s="7">
        <v>38</v>
      </c>
      <c r="M11" s="7">
        <v>35</v>
      </c>
      <c r="N11" s="7">
        <v>28</v>
      </c>
      <c r="O11" s="7">
        <v>25</v>
      </c>
      <c r="P11" s="7">
        <v>24</v>
      </c>
      <c r="Q11" s="7">
        <v>18</v>
      </c>
      <c r="R11" s="7">
        <v>15</v>
      </c>
      <c r="S11" s="7">
        <v>15</v>
      </c>
      <c r="T11" s="7">
        <v>15</v>
      </c>
      <c r="U11" s="7">
        <v>15</v>
      </c>
      <c r="V11" s="7">
        <v>12</v>
      </c>
      <c r="W11" s="7">
        <v>11</v>
      </c>
      <c r="X11" s="7">
        <v>10</v>
      </c>
      <c r="Y11" s="7">
        <v>9</v>
      </c>
      <c r="Z11" s="7">
        <v>8</v>
      </c>
      <c r="AA11" s="7">
        <v>7</v>
      </c>
      <c r="AB11" s="24">
        <v>5</v>
      </c>
      <c r="AC11" s="24">
        <v>5</v>
      </c>
      <c r="AD11" s="24">
        <v>5</v>
      </c>
      <c r="AE11" s="24">
        <v>3</v>
      </c>
      <c r="AF11" s="24">
        <v>3</v>
      </c>
      <c r="AG11" s="24">
        <v>3</v>
      </c>
      <c r="AH11" s="24">
        <v>2</v>
      </c>
      <c r="AI11" s="24">
        <v>2</v>
      </c>
      <c r="AJ11" s="24">
        <v>1</v>
      </c>
      <c r="AK11" s="24">
        <v>1</v>
      </c>
      <c r="AM11" s="32"/>
      <c r="AN11" s="32"/>
    </row>
    <row r="12" spans="1:111" s="31" customFormat="1" ht="15" customHeight="1">
      <c r="A12" s="55" t="s">
        <v>21</v>
      </c>
      <c r="B12" s="55"/>
      <c r="C12" s="55"/>
      <c r="D12" s="55"/>
      <c r="E12" s="33">
        <f t="shared" ref="E12:AF12" si="3">SUM(E13:E16)</f>
        <v>274</v>
      </c>
      <c r="F12" s="33">
        <f t="shared" si="3"/>
        <v>268</v>
      </c>
      <c r="G12" s="33">
        <f t="shared" si="3"/>
        <v>271</v>
      </c>
      <c r="H12" s="33">
        <f t="shared" si="3"/>
        <v>266</v>
      </c>
      <c r="I12" s="30">
        <f t="shared" si="3"/>
        <v>257</v>
      </c>
      <c r="J12" s="30">
        <f t="shared" si="3"/>
        <v>245</v>
      </c>
      <c r="K12" s="30">
        <f t="shared" si="3"/>
        <v>257</v>
      </c>
      <c r="L12" s="30">
        <f t="shared" si="3"/>
        <v>265</v>
      </c>
      <c r="M12" s="30">
        <f t="shared" si="3"/>
        <v>276</v>
      </c>
      <c r="N12" s="30">
        <f t="shared" si="3"/>
        <v>309</v>
      </c>
      <c r="O12" s="30">
        <f t="shared" si="3"/>
        <v>348</v>
      </c>
      <c r="P12" s="30">
        <f t="shared" si="3"/>
        <v>337</v>
      </c>
      <c r="Q12" s="30">
        <f t="shared" si="3"/>
        <v>335</v>
      </c>
      <c r="R12" s="30">
        <f t="shared" si="3"/>
        <v>362</v>
      </c>
      <c r="S12" s="30">
        <f t="shared" si="3"/>
        <v>361</v>
      </c>
      <c r="T12" s="30">
        <f t="shared" si="3"/>
        <v>360</v>
      </c>
      <c r="U12" s="30">
        <f t="shared" si="3"/>
        <v>328</v>
      </c>
      <c r="V12" s="30">
        <f t="shared" si="3"/>
        <v>308</v>
      </c>
      <c r="W12" s="30">
        <f t="shared" si="3"/>
        <v>327</v>
      </c>
      <c r="X12" s="30">
        <f t="shared" si="3"/>
        <v>328</v>
      </c>
      <c r="Y12" s="30">
        <f t="shared" si="3"/>
        <v>300</v>
      </c>
      <c r="Z12" s="30">
        <f t="shared" si="3"/>
        <v>286</v>
      </c>
      <c r="AA12" s="30">
        <f t="shared" si="3"/>
        <v>303</v>
      </c>
      <c r="AB12" s="45">
        <f t="shared" si="3"/>
        <v>293</v>
      </c>
      <c r="AC12" s="45">
        <f t="shared" si="3"/>
        <v>315</v>
      </c>
      <c r="AD12" s="45">
        <f t="shared" si="3"/>
        <v>369</v>
      </c>
      <c r="AE12" s="45">
        <f t="shared" si="3"/>
        <v>376</v>
      </c>
      <c r="AF12" s="45">
        <f t="shared" si="3"/>
        <v>383</v>
      </c>
      <c r="AG12" s="45">
        <f>SUM(AG13:AG15)</f>
        <v>369</v>
      </c>
      <c r="AH12" s="45">
        <f>SUM(AH13:AH15)</f>
        <v>343</v>
      </c>
      <c r="AI12" s="45">
        <f>SUM(AI13:AI15)</f>
        <v>298</v>
      </c>
      <c r="AJ12" s="45">
        <f>SUM(AJ13:AJ15)</f>
        <v>256</v>
      </c>
      <c r="AK12" s="45">
        <f>SUM(AK13:AK15)</f>
        <v>223</v>
      </c>
      <c r="AN12" s="5"/>
    </row>
    <row r="13" spans="1:111" s="5" customFormat="1" ht="14.1" customHeight="1">
      <c r="B13" s="51" t="s">
        <v>4</v>
      </c>
      <c r="C13" s="51"/>
      <c r="D13" s="51"/>
      <c r="E13" s="6">
        <v>2</v>
      </c>
      <c r="F13" s="6">
        <v>2</v>
      </c>
      <c r="G13" s="6">
        <v>2</v>
      </c>
      <c r="H13" s="6">
        <v>1</v>
      </c>
      <c r="I13" s="7">
        <v>0</v>
      </c>
      <c r="J13" s="7">
        <v>0</v>
      </c>
      <c r="K13" s="7">
        <v>0</v>
      </c>
      <c r="L13" s="7">
        <v>1</v>
      </c>
      <c r="M13" s="7">
        <v>2</v>
      </c>
      <c r="N13" s="7">
        <v>4</v>
      </c>
      <c r="O13" s="7">
        <v>4</v>
      </c>
      <c r="P13" s="7">
        <v>4</v>
      </c>
      <c r="Q13" s="7">
        <v>4</v>
      </c>
      <c r="R13" s="7">
        <v>6</v>
      </c>
      <c r="S13" s="7">
        <v>6</v>
      </c>
      <c r="T13" s="7">
        <v>3</v>
      </c>
      <c r="U13" s="7">
        <v>1</v>
      </c>
      <c r="V13" s="7">
        <v>1</v>
      </c>
      <c r="W13" s="7">
        <v>1</v>
      </c>
      <c r="X13" s="7">
        <v>1</v>
      </c>
      <c r="Y13" s="7">
        <v>1</v>
      </c>
      <c r="Z13" s="7">
        <v>0</v>
      </c>
      <c r="AA13" s="7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</row>
    <row r="14" spans="1:111" s="5" customFormat="1" ht="14.1" customHeight="1">
      <c r="B14" s="51" t="s">
        <v>5</v>
      </c>
      <c r="C14" s="51"/>
      <c r="D14" s="51"/>
      <c r="E14" s="6">
        <v>19</v>
      </c>
      <c r="F14" s="6">
        <v>17</v>
      </c>
      <c r="G14" s="6">
        <v>14</v>
      </c>
      <c r="H14" s="6">
        <v>14</v>
      </c>
      <c r="I14" s="7">
        <v>11</v>
      </c>
      <c r="J14" s="7">
        <v>12</v>
      </c>
      <c r="K14" s="7">
        <v>10</v>
      </c>
      <c r="L14" s="7">
        <v>9</v>
      </c>
      <c r="M14" s="7">
        <v>13</v>
      </c>
      <c r="N14" s="7">
        <v>15</v>
      </c>
      <c r="O14" s="7">
        <v>17</v>
      </c>
      <c r="P14" s="7">
        <v>15</v>
      </c>
      <c r="Q14" s="7">
        <v>17</v>
      </c>
      <c r="R14" s="7">
        <v>21</v>
      </c>
      <c r="S14" s="7">
        <v>18</v>
      </c>
      <c r="T14" s="7">
        <v>17</v>
      </c>
      <c r="U14" s="7">
        <v>14</v>
      </c>
      <c r="V14" s="7">
        <v>16</v>
      </c>
      <c r="W14" s="7">
        <v>14</v>
      </c>
      <c r="X14" s="7">
        <v>10</v>
      </c>
      <c r="Y14" s="7">
        <v>8</v>
      </c>
      <c r="Z14" s="7">
        <v>6</v>
      </c>
      <c r="AA14" s="7">
        <v>8</v>
      </c>
      <c r="AB14" s="24">
        <v>7</v>
      </c>
      <c r="AC14" s="24">
        <v>6</v>
      </c>
      <c r="AD14" s="24">
        <v>7</v>
      </c>
      <c r="AE14" s="24">
        <v>10</v>
      </c>
      <c r="AF14" s="24">
        <v>12</v>
      </c>
      <c r="AG14" s="24">
        <v>12</v>
      </c>
      <c r="AH14" s="24">
        <v>10</v>
      </c>
      <c r="AI14" s="24">
        <v>10</v>
      </c>
      <c r="AJ14" s="24">
        <v>12</v>
      </c>
      <c r="AK14" s="24">
        <v>12</v>
      </c>
    </row>
    <row r="15" spans="1:111" s="5" customFormat="1" ht="14.1" customHeight="1">
      <c r="B15" s="51" t="s">
        <v>6</v>
      </c>
      <c r="C15" s="51"/>
      <c r="D15" s="51"/>
      <c r="E15" s="6">
        <v>247</v>
      </c>
      <c r="F15" s="6">
        <v>246</v>
      </c>
      <c r="G15" s="6">
        <v>252</v>
      </c>
      <c r="H15" s="6">
        <v>248</v>
      </c>
      <c r="I15" s="7">
        <v>242</v>
      </c>
      <c r="J15" s="7">
        <v>232</v>
      </c>
      <c r="K15" s="7">
        <v>246</v>
      </c>
      <c r="L15" s="7">
        <v>254</v>
      </c>
      <c r="M15" s="7">
        <v>258</v>
      </c>
      <c r="N15" s="7">
        <v>290</v>
      </c>
      <c r="O15" s="7">
        <v>327</v>
      </c>
      <c r="P15" s="7">
        <v>316</v>
      </c>
      <c r="Q15" s="7">
        <v>313</v>
      </c>
      <c r="R15" s="7">
        <v>335</v>
      </c>
      <c r="S15" s="7">
        <v>337</v>
      </c>
      <c r="T15" s="7">
        <v>340</v>
      </c>
      <c r="U15" s="7">
        <v>313</v>
      </c>
      <c r="V15" s="7">
        <v>291</v>
      </c>
      <c r="W15" s="7">
        <v>312</v>
      </c>
      <c r="X15" s="7">
        <v>317</v>
      </c>
      <c r="Y15" s="7">
        <v>291</v>
      </c>
      <c r="Z15" s="7">
        <v>280</v>
      </c>
      <c r="AA15" s="7">
        <v>295</v>
      </c>
      <c r="AB15" s="24">
        <v>286</v>
      </c>
      <c r="AC15" s="24">
        <v>309</v>
      </c>
      <c r="AD15" s="24">
        <v>362</v>
      </c>
      <c r="AE15" s="24">
        <v>366</v>
      </c>
      <c r="AF15" s="24">
        <v>371</v>
      </c>
      <c r="AG15" s="24">
        <v>357</v>
      </c>
      <c r="AH15" s="24">
        <v>333</v>
      </c>
      <c r="AI15" s="24">
        <v>288</v>
      </c>
      <c r="AJ15" s="24">
        <v>244</v>
      </c>
      <c r="AK15" s="24">
        <v>211</v>
      </c>
    </row>
    <row r="16" spans="1:111" s="5" customFormat="1" ht="10.95" hidden="1" customHeight="1">
      <c r="B16" s="5" t="s">
        <v>7</v>
      </c>
      <c r="E16" s="6">
        <v>6</v>
      </c>
      <c r="F16" s="6">
        <v>3</v>
      </c>
      <c r="G16" s="6">
        <v>3</v>
      </c>
      <c r="H16" s="6">
        <v>3</v>
      </c>
      <c r="I16" s="7">
        <v>4</v>
      </c>
      <c r="J16" s="7">
        <v>1</v>
      </c>
      <c r="K16" s="7">
        <v>1</v>
      </c>
      <c r="L16" s="7">
        <v>1</v>
      </c>
      <c r="M16" s="7">
        <v>3</v>
      </c>
      <c r="N16" s="7">
        <v>0</v>
      </c>
      <c r="O16" s="7">
        <v>0</v>
      </c>
      <c r="P16" s="7">
        <v>2</v>
      </c>
      <c r="Q16" s="7">
        <v>1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/>
      <c r="AH16" s="24"/>
      <c r="AI16" s="24"/>
      <c r="AJ16" s="24"/>
      <c r="AK16" s="24"/>
      <c r="AN16" s="31"/>
    </row>
    <row r="17" spans="1:40" s="31" customFormat="1" ht="15" customHeight="1">
      <c r="C17" s="34" t="s">
        <v>8</v>
      </c>
      <c r="D17" s="34"/>
      <c r="E17" s="33">
        <f t="shared" ref="E17:AE17" si="4">SUM(E18:E23)</f>
        <v>1469</v>
      </c>
      <c r="F17" s="33">
        <f t="shared" si="4"/>
        <v>1448</v>
      </c>
      <c r="G17" s="33">
        <f t="shared" si="4"/>
        <v>1448</v>
      </c>
      <c r="H17" s="33">
        <f t="shared" si="4"/>
        <v>1457</v>
      </c>
      <c r="I17" s="33">
        <f t="shared" si="4"/>
        <v>1455</v>
      </c>
      <c r="J17" s="33">
        <f t="shared" si="4"/>
        <v>1455</v>
      </c>
      <c r="K17" s="33">
        <f t="shared" si="4"/>
        <v>1453</v>
      </c>
      <c r="L17" s="33">
        <f t="shared" si="4"/>
        <v>1427</v>
      </c>
      <c r="M17" s="33">
        <f t="shared" si="4"/>
        <v>1439</v>
      </c>
      <c r="N17" s="33">
        <f t="shared" si="4"/>
        <v>1423</v>
      </c>
      <c r="O17" s="33">
        <f t="shared" si="4"/>
        <v>1425</v>
      </c>
      <c r="P17" s="33">
        <f t="shared" si="4"/>
        <v>1396</v>
      </c>
      <c r="Q17" s="33">
        <f t="shared" si="4"/>
        <v>1355</v>
      </c>
      <c r="R17" s="33">
        <f t="shared" si="4"/>
        <v>1369</v>
      </c>
      <c r="S17" s="33">
        <f t="shared" si="4"/>
        <v>1339</v>
      </c>
      <c r="T17" s="33">
        <f t="shared" si="4"/>
        <v>1358</v>
      </c>
      <c r="U17" s="33">
        <f t="shared" si="4"/>
        <v>1313</v>
      </c>
      <c r="V17" s="33">
        <f t="shared" si="4"/>
        <v>1292</v>
      </c>
      <c r="W17" s="33">
        <f t="shared" si="4"/>
        <v>1314</v>
      </c>
      <c r="X17" s="33">
        <f t="shared" si="4"/>
        <v>1346</v>
      </c>
      <c r="Y17" s="33">
        <f t="shared" si="4"/>
        <v>1308</v>
      </c>
      <c r="Z17" s="33">
        <f t="shared" si="4"/>
        <v>1293</v>
      </c>
      <c r="AA17" s="33">
        <f t="shared" si="4"/>
        <v>1331</v>
      </c>
      <c r="AB17" s="46">
        <f t="shared" si="4"/>
        <v>1306</v>
      </c>
      <c r="AC17" s="46">
        <f t="shared" si="4"/>
        <v>1318</v>
      </c>
      <c r="AD17" s="46">
        <f t="shared" si="4"/>
        <v>1389</v>
      </c>
      <c r="AE17" s="46">
        <f t="shared" si="4"/>
        <v>1373</v>
      </c>
      <c r="AF17" s="46">
        <f t="shared" ref="AF17:AJ17" si="5">SUM(AF18:AF23)</f>
        <v>1362</v>
      </c>
      <c r="AG17" s="46">
        <f t="shared" si="5"/>
        <v>1355</v>
      </c>
      <c r="AH17" s="46">
        <f t="shared" si="5"/>
        <v>1309</v>
      </c>
      <c r="AI17" s="46">
        <f t="shared" si="5"/>
        <v>1279</v>
      </c>
      <c r="AJ17" s="46">
        <f t="shared" si="5"/>
        <v>1219</v>
      </c>
      <c r="AK17" s="46">
        <f>SUM(AK18:AK23)</f>
        <v>1176</v>
      </c>
      <c r="AN17" s="10"/>
    </row>
    <row r="18" spans="1:40" s="10" customFormat="1" ht="14.1" customHeight="1">
      <c r="A18" s="8"/>
      <c r="B18" s="8"/>
      <c r="C18" s="8"/>
      <c r="D18" s="51" t="s">
        <v>14</v>
      </c>
      <c r="E18" s="51">
        <f t="shared" ref="E18:AG20" si="6">E6</f>
        <v>48</v>
      </c>
      <c r="F18" s="51">
        <f t="shared" si="6"/>
        <v>51</v>
      </c>
      <c r="G18" s="9">
        <f t="shared" si="6"/>
        <v>50</v>
      </c>
      <c r="H18" s="9">
        <f t="shared" si="6"/>
        <v>52</v>
      </c>
      <c r="I18" s="9">
        <f t="shared" si="6"/>
        <v>54</v>
      </c>
      <c r="J18" s="9">
        <f t="shared" si="6"/>
        <v>53</v>
      </c>
      <c r="K18" s="9">
        <f t="shared" si="6"/>
        <v>58</v>
      </c>
      <c r="L18" s="9">
        <f t="shared" si="6"/>
        <v>58</v>
      </c>
      <c r="M18" s="9">
        <f t="shared" si="6"/>
        <v>53</v>
      </c>
      <c r="N18" s="9">
        <f t="shared" si="6"/>
        <v>51</v>
      </c>
      <c r="O18" s="9">
        <f t="shared" si="6"/>
        <v>49</v>
      </c>
      <c r="P18" s="9">
        <f t="shared" si="6"/>
        <v>47</v>
      </c>
      <c r="Q18" s="9">
        <f t="shared" si="6"/>
        <v>43</v>
      </c>
      <c r="R18" s="9">
        <f t="shared" si="6"/>
        <v>42</v>
      </c>
      <c r="S18" s="9">
        <f t="shared" si="6"/>
        <v>41</v>
      </c>
      <c r="T18" s="9">
        <f t="shared" si="6"/>
        <v>38</v>
      </c>
      <c r="U18" s="9">
        <f t="shared" si="6"/>
        <v>39</v>
      </c>
      <c r="V18" s="9">
        <f t="shared" si="6"/>
        <v>39</v>
      </c>
      <c r="W18" s="9">
        <f t="shared" si="6"/>
        <v>38</v>
      </c>
      <c r="X18" s="9">
        <f t="shared" si="6"/>
        <v>39</v>
      </c>
      <c r="Y18" s="9">
        <f t="shared" si="6"/>
        <v>41</v>
      </c>
      <c r="Z18" s="9">
        <f t="shared" si="6"/>
        <v>40</v>
      </c>
      <c r="AA18" s="9">
        <f t="shared" si="6"/>
        <v>41</v>
      </c>
      <c r="AB18" s="47">
        <f t="shared" si="6"/>
        <v>41</v>
      </c>
      <c r="AC18" s="47">
        <f t="shared" si="6"/>
        <v>42</v>
      </c>
      <c r="AD18" s="47">
        <f t="shared" si="6"/>
        <v>44</v>
      </c>
      <c r="AE18" s="47">
        <f t="shared" si="6"/>
        <v>44</v>
      </c>
      <c r="AF18" s="47">
        <f t="shared" si="6"/>
        <v>48</v>
      </c>
      <c r="AG18" s="47">
        <f t="shared" si="6"/>
        <v>47</v>
      </c>
      <c r="AH18" s="24">
        <f>AH6</f>
        <v>23</v>
      </c>
      <c r="AI18" s="24">
        <f t="shared" ref="AI18" si="7">AI6</f>
        <v>46</v>
      </c>
      <c r="AJ18" s="24">
        <f t="shared" ref="AJ18:AK20" si="8">AJ6</f>
        <v>24</v>
      </c>
      <c r="AK18" s="24">
        <f t="shared" si="8"/>
        <v>51</v>
      </c>
    </row>
    <row r="19" spans="1:40" s="10" customFormat="1" ht="14.1" customHeight="1">
      <c r="A19" s="8"/>
      <c r="B19" s="8"/>
      <c r="C19" s="8"/>
      <c r="D19" s="22" t="s">
        <v>15</v>
      </c>
      <c r="E19" s="9">
        <f t="shared" si="6"/>
        <v>0</v>
      </c>
      <c r="F19" s="9">
        <f t="shared" si="6"/>
        <v>0</v>
      </c>
      <c r="G19" s="9">
        <f t="shared" si="6"/>
        <v>0</v>
      </c>
      <c r="H19" s="9">
        <f t="shared" si="6"/>
        <v>9</v>
      </c>
      <c r="I19" s="9">
        <f t="shared" si="6"/>
        <v>14</v>
      </c>
      <c r="J19" s="9">
        <f t="shared" si="6"/>
        <v>15</v>
      </c>
      <c r="K19" s="9">
        <f t="shared" si="6"/>
        <v>23</v>
      </c>
      <c r="L19" s="9">
        <f t="shared" si="6"/>
        <v>27</v>
      </c>
      <c r="M19" s="9">
        <f t="shared" si="6"/>
        <v>29</v>
      </c>
      <c r="N19" s="9">
        <f t="shared" si="6"/>
        <v>37</v>
      </c>
      <c r="O19" s="9">
        <f t="shared" si="6"/>
        <v>33</v>
      </c>
      <c r="P19" s="9">
        <f t="shared" si="6"/>
        <v>36</v>
      </c>
      <c r="Q19" s="9">
        <f t="shared" si="6"/>
        <v>35</v>
      </c>
      <c r="R19" s="9">
        <f t="shared" si="6"/>
        <v>37</v>
      </c>
      <c r="S19" s="9">
        <f t="shared" si="6"/>
        <v>35</v>
      </c>
      <c r="T19" s="9">
        <f t="shared" si="6"/>
        <v>38</v>
      </c>
      <c r="U19" s="9">
        <f t="shared" si="6"/>
        <v>40</v>
      </c>
      <c r="V19" s="9">
        <f t="shared" si="6"/>
        <v>38</v>
      </c>
      <c r="W19" s="9">
        <f t="shared" si="6"/>
        <v>39</v>
      </c>
      <c r="X19" s="9">
        <f t="shared" si="6"/>
        <v>40</v>
      </c>
      <c r="Y19" s="9">
        <f t="shared" si="6"/>
        <v>41</v>
      </c>
      <c r="Z19" s="9">
        <f t="shared" si="6"/>
        <v>40</v>
      </c>
      <c r="AA19" s="9">
        <f t="shared" si="6"/>
        <v>40</v>
      </c>
      <c r="AB19" s="47">
        <f t="shared" si="6"/>
        <v>39</v>
      </c>
      <c r="AC19" s="47">
        <f t="shared" si="6"/>
        <v>37</v>
      </c>
      <c r="AD19" s="47">
        <f t="shared" si="6"/>
        <v>37</v>
      </c>
      <c r="AE19" s="47">
        <f t="shared" si="6"/>
        <v>37</v>
      </c>
      <c r="AF19" s="47">
        <f t="shared" si="6"/>
        <v>35</v>
      </c>
      <c r="AG19" s="47">
        <f t="shared" si="6"/>
        <v>31</v>
      </c>
      <c r="AH19" s="24">
        <f>AH7</f>
        <v>34</v>
      </c>
      <c r="AI19" s="24">
        <f t="shared" ref="AI19" si="9">AI7</f>
        <v>27</v>
      </c>
      <c r="AJ19" s="24">
        <f t="shared" si="8"/>
        <v>28</v>
      </c>
      <c r="AK19" s="24">
        <f t="shared" si="8"/>
        <v>31</v>
      </c>
      <c r="AN19" s="5"/>
    </row>
    <row r="20" spans="1:40" s="5" customFormat="1" ht="14.1" customHeight="1">
      <c r="D20" s="22" t="s">
        <v>18</v>
      </c>
      <c r="E20" s="6">
        <f t="shared" ref="E20:AA20" si="10">E8+E16</f>
        <v>10</v>
      </c>
      <c r="F20" s="6">
        <f t="shared" si="10"/>
        <v>6</v>
      </c>
      <c r="G20" s="6">
        <f t="shared" si="10"/>
        <v>6</v>
      </c>
      <c r="H20" s="6">
        <f t="shared" si="10"/>
        <v>6</v>
      </c>
      <c r="I20" s="6">
        <f t="shared" si="10"/>
        <v>6</v>
      </c>
      <c r="J20" s="6">
        <f t="shared" si="10"/>
        <v>3</v>
      </c>
      <c r="K20" s="6">
        <f t="shared" si="10"/>
        <v>3</v>
      </c>
      <c r="L20" s="6">
        <f t="shared" si="10"/>
        <v>2</v>
      </c>
      <c r="M20" s="6">
        <f t="shared" si="10"/>
        <v>4</v>
      </c>
      <c r="N20" s="6">
        <f t="shared" si="10"/>
        <v>1</v>
      </c>
      <c r="O20" s="7">
        <f t="shared" si="10"/>
        <v>1</v>
      </c>
      <c r="P20" s="7">
        <f t="shared" si="10"/>
        <v>3</v>
      </c>
      <c r="Q20" s="7">
        <f t="shared" si="10"/>
        <v>2</v>
      </c>
      <c r="R20" s="7">
        <f t="shared" si="10"/>
        <v>1</v>
      </c>
      <c r="S20" s="7">
        <f t="shared" si="10"/>
        <v>0</v>
      </c>
      <c r="T20" s="7">
        <f t="shared" si="10"/>
        <v>0</v>
      </c>
      <c r="U20" s="7">
        <f t="shared" si="10"/>
        <v>0</v>
      </c>
      <c r="V20" s="7">
        <f t="shared" si="10"/>
        <v>0</v>
      </c>
      <c r="W20" s="7">
        <f t="shared" si="10"/>
        <v>0</v>
      </c>
      <c r="X20" s="7">
        <f t="shared" si="10"/>
        <v>0</v>
      </c>
      <c r="Y20" s="7">
        <f t="shared" si="10"/>
        <v>0</v>
      </c>
      <c r="Z20" s="7">
        <f t="shared" si="10"/>
        <v>0</v>
      </c>
      <c r="AA20" s="7">
        <f t="shared" si="10"/>
        <v>0</v>
      </c>
      <c r="AB20" s="24">
        <f>AB8</f>
        <v>3</v>
      </c>
      <c r="AC20" s="24">
        <f>AC8</f>
        <v>6</v>
      </c>
      <c r="AD20" s="24">
        <f>AD8</f>
        <v>9</v>
      </c>
      <c r="AE20" s="24">
        <f>AE8</f>
        <v>10</v>
      </c>
      <c r="AF20" s="24">
        <f t="shared" si="6"/>
        <v>11</v>
      </c>
      <c r="AG20" s="24">
        <f t="shared" si="6"/>
        <v>11</v>
      </c>
      <c r="AH20" s="24">
        <f>AH8</f>
        <v>5</v>
      </c>
      <c r="AI20" s="24">
        <f t="shared" ref="AI20" si="11">AI8</f>
        <v>16</v>
      </c>
      <c r="AJ20" s="24">
        <f t="shared" si="8"/>
        <v>13</v>
      </c>
      <c r="AK20" s="24">
        <f t="shared" si="8"/>
        <v>20</v>
      </c>
    </row>
    <row r="21" spans="1:40" s="5" customFormat="1" ht="14.1" customHeight="1">
      <c r="D21" s="22" t="s">
        <v>16</v>
      </c>
      <c r="E21" s="6">
        <f t="shared" ref="E21:AG23" si="12">E9+E13</f>
        <v>657</v>
      </c>
      <c r="F21" s="6">
        <f t="shared" si="12"/>
        <v>639</v>
      </c>
      <c r="G21" s="6">
        <f t="shared" si="12"/>
        <v>634</v>
      </c>
      <c r="H21" s="6">
        <f t="shared" si="12"/>
        <v>618</v>
      </c>
      <c r="I21" s="6">
        <f t="shared" si="12"/>
        <v>613</v>
      </c>
      <c r="J21" s="6">
        <f t="shared" si="12"/>
        <v>617</v>
      </c>
      <c r="K21" s="6">
        <f t="shared" si="12"/>
        <v>602</v>
      </c>
      <c r="L21" s="6">
        <f t="shared" si="12"/>
        <v>585</v>
      </c>
      <c r="M21" s="6">
        <f t="shared" si="12"/>
        <v>580</v>
      </c>
      <c r="N21" s="6">
        <f t="shared" si="12"/>
        <v>547</v>
      </c>
      <c r="O21" s="6">
        <f t="shared" si="12"/>
        <v>545</v>
      </c>
      <c r="P21" s="6">
        <f t="shared" si="12"/>
        <v>526</v>
      </c>
      <c r="Q21" s="6">
        <f t="shared" si="12"/>
        <v>508</v>
      </c>
      <c r="R21" s="6">
        <f t="shared" si="12"/>
        <v>499</v>
      </c>
      <c r="S21" s="6">
        <f t="shared" si="12"/>
        <v>477</v>
      </c>
      <c r="T21" s="6">
        <f t="shared" si="12"/>
        <v>492</v>
      </c>
      <c r="U21" s="6">
        <f t="shared" si="12"/>
        <v>484</v>
      </c>
      <c r="V21" s="6">
        <f t="shared" si="12"/>
        <v>492</v>
      </c>
      <c r="W21" s="6">
        <f t="shared" si="12"/>
        <v>499</v>
      </c>
      <c r="X21" s="6">
        <f t="shared" si="12"/>
        <v>505</v>
      </c>
      <c r="Y21" s="6">
        <f t="shared" si="12"/>
        <v>500</v>
      </c>
      <c r="Z21" s="6">
        <f t="shared" si="12"/>
        <v>503</v>
      </c>
      <c r="AA21" s="6">
        <f t="shared" si="12"/>
        <v>518</v>
      </c>
      <c r="AB21" s="48">
        <f t="shared" si="12"/>
        <v>502</v>
      </c>
      <c r="AC21" s="48">
        <f t="shared" si="12"/>
        <v>486</v>
      </c>
      <c r="AD21" s="48">
        <f t="shared" si="12"/>
        <v>494</v>
      </c>
      <c r="AE21" s="48">
        <f t="shared" si="12"/>
        <v>494</v>
      </c>
      <c r="AF21" s="48">
        <f t="shared" si="12"/>
        <v>480</v>
      </c>
      <c r="AG21" s="48">
        <f t="shared" si="12"/>
        <v>485</v>
      </c>
      <c r="AH21" s="24">
        <f>AH9+AH13</f>
        <v>512</v>
      </c>
      <c r="AI21" s="24">
        <f t="shared" ref="AI21" si="13">AI9+AI13</f>
        <v>490</v>
      </c>
      <c r="AJ21" s="24">
        <f t="shared" ref="AJ21:AK23" si="14">AJ9+AJ13</f>
        <v>479</v>
      </c>
      <c r="AK21" s="24">
        <f t="shared" si="14"/>
        <v>437</v>
      </c>
    </row>
    <row r="22" spans="1:40" s="5" customFormat="1" ht="14.1" customHeight="1">
      <c r="D22" s="22" t="s">
        <v>19</v>
      </c>
      <c r="E22" s="6">
        <f t="shared" si="12"/>
        <v>428</v>
      </c>
      <c r="F22" s="6">
        <f t="shared" si="12"/>
        <v>429</v>
      </c>
      <c r="G22" s="6">
        <f t="shared" si="12"/>
        <v>442</v>
      </c>
      <c r="H22" s="6">
        <f t="shared" si="12"/>
        <v>461</v>
      </c>
      <c r="I22" s="6">
        <f t="shared" si="12"/>
        <v>463</v>
      </c>
      <c r="J22" s="6">
        <f t="shared" si="12"/>
        <v>480</v>
      </c>
      <c r="K22" s="6">
        <f t="shared" si="12"/>
        <v>472</v>
      </c>
      <c r="L22" s="6">
        <f t="shared" si="12"/>
        <v>463</v>
      </c>
      <c r="M22" s="6">
        <f t="shared" si="12"/>
        <v>480</v>
      </c>
      <c r="N22" s="6">
        <f t="shared" si="12"/>
        <v>469</v>
      </c>
      <c r="O22" s="7">
        <f t="shared" si="12"/>
        <v>445</v>
      </c>
      <c r="P22" s="7">
        <f t="shared" si="12"/>
        <v>444</v>
      </c>
      <c r="Q22" s="7">
        <f t="shared" si="12"/>
        <v>436</v>
      </c>
      <c r="R22" s="7">
        <f t="shared" si="12"/>
        <v>440</v>
      </c>
      <c r="S22" s="7">
        <f t="shared" si="12"/>
        <v>434</v>
      </c>
      <c r="T22" s="7">
        <f t="shared" si="12"/>
        <v>435</v>
      </c>
      <c r="U22" s="7">
        <f t="shared" si="12"/>
        <v>422</v>
      </c>
      <c r="V22" s="7">
        <f t="shared" si="12"/>
        <v>420</v>
      </c>
      <c r="W22" s="7">
        <f t="shared" si="12"/>
        <v>415</v>
      </c>
      <c r="X22" s="7">
        <f t="shared" si="12"/>
        <v>435</v>
      </c>
      <c r="Y22" s="7">
        <f t="shared" si="12"/>
        <v>426</v>
      </c>
      <c r="Z22" s="7">
        <f t="shared" si="12"/>
        <v>422</v>
      </c>
      <c r="AA22" s="7">
        <f t="shared" si="12"/>
        <v>430</v>
      </c>
      <c r="AB22" s="24">
        <f t="shared" si="12"/>
        <v>430</v>
      </c>
      <c r="AC22" s="24">
        <f t="shared" si="12"/>
        <v>433</v>
      </c>
      <c r="AD22" s="24">
        <f t="shared" si="12"/>
        <v>438</v>
      </c>
      <c r="AE22" s="24">
        <f t="shared" si="12"/>
        <v>419</v>
      </c>
      <c r="AF22" s="24">
        <f>AF10+AF14</f>
        <v>414</v>
      </c>
      <c r="AG22" s="24">
        <f t="shared" si="12"/>
        <v>421</v>
      </c>
      <c r="AH22" s="24">
        <f>AH10+AH14</f>
        <v>400</v>
      </c>
      <c r="AI22" s="24">
        <f t="shared" ref="AI22" si="15">AI10+AI14</f>
        <v>410</v>
      </c>
      <c r="AJ22" s="24">
        <f t="shared" si="14"/>
        <v>430</v>
      </c>
      <c r="AK22" s="24">
        <f t="shared" si="14"/>
        <v>425</v>
      </c>
    </row>
    <row r="23" spans="1:40" s="5" customFormat="1" ht="14.1" customHeight="1">
      <c r="D23" s="22" t="s">
        <v>17</v>
      </c>
      <c r="E23" s="6">
        <f t="shared" si="12"/>
        <v>326</v>
      </c>
      <c r="F23" s="6">
        <f t="shared" si="12"/>
        <v>323</v>
      </c>
      <c r="G23" s="6">
        <f t="shared" si="12"/>
        <v>316</v>
      </c>
      <c r="H23" s="6">
        <f t="shared" si="12"/>
        <v>311</v>
      </c>
      <c r="I23" s="6">
        <f t="shared" si="12"/>
        <v>305</v>
      </c>
      <c r="J23" s="6">
        <f t="shared" si="12"/>
        <v>287</v>
      </c>
      <c r="K23" s="6">
        <f t="shared" si="12"/>
        <v>295</v>
      </c>
      <c r="L23" s="6">
        <f t="shared" si="12"/>
        <v>292</v>
      </c>
      <c r="M23" s="6">
        <f t="shared" si="12"/>
        <v>293</v>
      </c>
      <c r="N23" s="6">
        <f t="shared" si="12"/>
        <v>318</v>
      </c>
      <c r="O23" s="7">
        <f t="shared" si="12"/>
        <v>352</v>
      </c>
      <c r="P23" s="7">
        <f t="shared" si="12"/>
        <v>340</v>
      </c>
      <c r="Q23" s="7">
        <f t="shared" si="12"/>
        <v>331</v>
      </c>
      <c r="R23" s="7">
        <f t="shared" si="12"/>
        <v>350</v>
      </c>
      <c r="S23" s="7">
        <f t="shared" si="12"/>
        <v>352</v>
      </c>
      <c r="T23" s="7">
        <f t="shared" si="12"/>
        <v>355</v>
      </c>
      <c r="U23" s="7">
        <f t="shared" si="12"/>
        <v>328</v>
      </c>
      <c r="V23" s="7">
        <f t="shared" si="12"/>
        <v>303</v>
      </c>
      <c r="W23" s="7">
        <f t="shared" si="12"/>
        <v>323</v>
      </c>
      <c r="X23" s="7">
        <f t="shared" si="12"/>
        <v>327</v>
      </c>
      <c r="Y23" s="7">
        <f t="shared" si="12"/>
        <v>300</v>
      </c>
      <c r="Z23" s="7">
        <f t="shared" si="12"/>
        <v>288</v>
      </c>
      <c r="AA23" s="7">
        <f t="shared" si="12"/>
        <v>302</v>
      </c>
      <c r="AB23" s="24">
        <f t="shared" si="12"/>
        <v>291</v>
      </c>
      <c r="AC23" s="24">
        <f t="shared" si="12"/>
        <v>314</v>
      </c>
      <c r="AD23" s="24">
        <f t="shared" si="12"/>
        <v>367</v>
      </c>
      <c r="AE23" s="24">
        <f t="shared" si="12"/>
        <v>369</v>
      </c>
      <c r="AF23" s="24">
        <f>AF11+AF15</f>
        <v>374</v>
      </c>
      <c r="AG23" s="24">
        <f t="shared" si="12"/>
        <v>360</v>
      </c>
      <c r="AH23" s="24">
        <f>AH11+AH15</f>
        <v>335</v>
      </c>
      <c r="AI23" s="24">
        <f t="shared" ref="AI23" si="16">AI11+AI15</f>
        <v>290</v>
      </c>
      <c r="AJ23" s="24">
        <f t="shared" si="14"/>
        <v>245</v>
      </c>
      <c r="AK23" s="24">
        <f t="shared" si="14"/>
        <v>212</v>
      </c>
      <c r="AN23" s="31"/>
    </row>
    <row r="24" spans="1:40" s="31" customFormat="1" ht="15" customHeight="1">
      <c r="A24" s="55" t="s">
        <v>33</v>
      </c>
      <c r="B24" s="55"/>
      <c r="C24" s="55"/>
      <c r="D24" s="55"/>
      <c r="E24" s="33">
        <f t="shared" ref="E24:P24" si="17">SUM(E25:E28)</f>
        <v>434</v>
      </c>
      <c r="F24" s="33">
        <f t="shared" si="17"/>
        <v>337</v>
      </c>
      <c r="G24" s="33">
        <f t="shared" si="17"/>
        <v>311</v>
      </c>
      <c r="H24" s="33">
        <f t="shared" si="17"/>
        <v>305</v>
      </c>
      <c r="I24" s="30">
        <f t="shared" si="17"/>
        <v>304</v>
      </c>
      <c r="J24" s="30">
        <f t="shared" si="17"/>
        <v>326</v>
      </c>
      <c r="K24" s="30">
        <f t="shared" si="17"/>
        <v>333</v>
      </c>
      <c r="L24" s="30">
        <f t="shared" si="17"/>
        <v>322</v>
      </c>
      <c r="M24" s="30">
        <f t="shared" si="17"/>
        <v>358</v>
      </c>
      <c r="N24" s="30">
        <f t="shared" si="17"/>
        <v>358</v>
      </c>
      <c r="O24" s="30">
        <f t="shared" si="17"/>
        <v>354</v>
      </c>
      <c r="P24" s="30">
        <f t="shared" si="17"/>
        <v>361</v>
      </c>
      <c r="Q24" s="30">
        <f t="shared" ref="Q24:AF24" si="18">SUM(Q25:Q29)</f>
        <v>365</v>
      </c>
      <c r="R24" s="30">
        <f t="shared" si="18"/>
        <v>382</v>
      </c>
      <c r="S24" s="30">
        <f t="shared" si="18"/>
        <v>368</v>
      </c>
      <c r="T24" s="30">
        <f t="shared" si="18"/>
        <v>376</v>
      </c>
      <c r="U24" s="30">
        <f t="shared" si="18"/>
        <v>396</v>
      </c>
      <c r="V24" s="30">
        <f t="shared" si="18"/>
        <v>384</v>
      </c>
      <c r="W24" s="30">
        <f t="shared" si="18"/>
        <v>409</v>
      </c>
      <c r="X24" s="30">
        <f t="shared" si="18"/>
        <v>400</v>
      </c>
      <c r="Y24" s="30">
        <f t="shared" si="18"/>
        <v>432</v>
      </c>
      <c r="Z24" s="30">
        <f t="shared" si="18"/>
        <v>473</v>
      </c>
      <c r="AA24" s="30">
        <f t="shared" si="18"/>
        <v>514</v>
      </c>
      <c r="AB24" s="45">
        <f t="shared" si="18"/>
        <v>563</v>
      </c>
      <c r="AC24" s="45">
        <f t="shared" si="18"/>
        <v>574</v>
      </c>
      <c r="AD24" s="45">
        <f t="shared" si="18"/>
        <v>584</v>
      </c>
      <c r="AE24" s="45">
        <f t="shared" si="18"/>
        <v>596</v>
      </c>
      <c r="AF24" s="45">
        <f t="shared" si="18"/>
        <v>604</v>
      </c>
      <c r="AG24" s="45">
        <f>SUM(AG25:AG29)</f>
        <v>578</v>
      </c>
      <c r="AH24" s="45">
        <f>SUM(AH25:AH29)</f>
        <v>601</v>
      </c>
      <c r="AI24" s="45">
        <f>SUM(AI25:AI29)</f>
        <v>579</v>
      </c>
      <c r="AJ24" s="45">
        <f>SUM(AJ25:AJ29)</f>
        <v>580</v>
      </c>
      <c r="AK24" s="45">
        <f>SUM(AK25:AK29)</f>
        <v>573</v>
      </c>
      <c r="AN24" s="5"/>
    </row>
    <row r="25" spans="1:40" s="5" customFormat="1" ht="14.1" customHeight="1">
      <c r="B25" s="51" t="s">
        <v>4</v>
      </c>
      <c r="C25" s="51"/>
      <c r="D25" s="51"/>
      <c r="E25" s="6">
        <f>8+1+6</f>
        <v>15</v>
      </c>
      <c r="F25" s="6">
        <f>10+1+5</f>
        <v>16</v>
      </c>
      <c r="G25" s="6">
        <f>10+1+3</f>
        <v>14</v>
      </c>
      <c r="H25" s="6">
        <f>7+0+3</f>
        <v>10</v>
      </c>
      <c r="I25" s="7">
        <v>12</v>
      </c>
      <c r="J25" s="7">
        <f>6+4</f>
        <v>10</v>
      </c>
      <c r="K25" s="7">
        <f>5+0+3</f>
        <v>8</v>
      </c>
      <c r="L25" s="7">
        <v>10</v>
      </c>
      <c r="M25" s="7">
        <v>14</v>
      </c>
      <c r="N25" s="7">
        <f>5+2+7</f>
        <v>14</v>
      </c>
      <c r="O25" s="7">
        <v>13</v>
      </c>
      <c r="P25" s="7">
        <v>16</v>
      </c>
      <c r="Q25" s="7">
        <f>Q31+Q32+Q34-Q18-Q19-Q21</f>
        <v>10</v>
      </c>
      <c r="R25" s="7">
        <f>R31+R32+R34-R18-R19-R21</f>
        <v>9</v>
      </c>
      <c r="S25" s="7">
        <v>10</v>
      </c>
      <c r="T25" s="7">
        <v>6</v>
      </c>
      <c r="U25" s="7">
        <v>9</v>
      </c>
      <c r="V25" s="7">
        <v>4</v>
      </c>
      <c r="W25" s="7">
        <v>5</v>
      </c>
      <c r="X25" s="7">
        <v>5</v>
      </c>
      <c r="Y25" s="7">
        <v>10</v>
      </c>
      <c r="Z25" s="7">
        <v>7</v>
      </c>
      <c r="AA25" s="7">
        <v>10</v>
      </c>
      <c r="AB25" s="24">
        <v>13</v>
      </c>
      <c r="AC25" s="24">
        <v>9</v>
      </c>
      <c r="AD25" s="24">
        <v>7</v>
      </c>
      <c r="AE25" s="24">
        <v>7</v>
      </c>
      <c r="AF25" s="24">
        <v>14</v>
      </c>
      <c r="AG25" s="24">
        <v>8</v>
      </c>
      <c r="AH25" s="24">
        <v>48</v>
      </c>
      <c r="AI25" s="24">
        <v>77</v>
      </c>
      <c r="AJ25" s="24">
        <v>93</v>
      </c>
      <c r="AK25" s="24">
        <v>107</v>
      </c>
    </row>
    <row r="26" spans="1:40" s="5" customFormat="1" ht="14.1" customHeight="1">
      <c r="B26" s="51" t="s">
        <v>5</v>
      </c>
      <c r="C26" s="51"/>
      <c r="D26" s="51"/>
      <c r="E26" s="6">
        <f>9+3+7</f>
        <v>19</v>
      </c>
      <c r="F26" s="6">
        <f>9+1+5</f>
        <v>15</v>
      </c>
      <c r="G26" s="6">
        <f>8+1+3</f>
        <v>12</v>
      </c>
      <c r="H26" s="6">
        <f>10+3+2</f>
        <v>15</v>
      </c>
      <c r="I26" s="7">
        <v>17</v>
      </c>
      <c r="J26" s="7">
        <f>11+2</f>
        <v>13</v>
      </c>
      <c r="K26" s="7">
        <f>11+0+3</f>
        <v>14</v>
      </c>
      <c r="L26" s="7">
        <v>14</v>
      </c>
      <c r="M26" s="7">
        <v>14</v>
      </c>
      <c r="N26" s="7">
        <f>11+2+4</f>
        <v>17</v>
      </c>
      <c r="O26" s="7">
        <v>23</v>
      </c>
      <c r="P26" s="7">
        <v>18</v>
      </c>
      <c r="Q26" s="7">
        <f>Q35-Q22</f>
        <v>12</v>
      </c>
      <c r="R26" s="7">
        <f>R35-R22</f>
        <v>11</v>
      </c>
      <c r="S26" s="7">
        <v>8</v>
      </c>
      <c r="T26" s="7">
        <v>7</v>
      </c>
      <c r="U26" s="7">
        <v>10</v>
      </c>
      <c r="V26" s="7">
        <v>7</v>
      </c>
      <c r="W26" s="7">
        <v>7</v>
      </c>
      <c r="X26" s="7">
        <v>9</v>
      </c>
      <c r="Y26" s="7">
        <v>9</v>
      </c>
      <c r="Z26" s="7">
        <v>9</v>
      </c>
      <c r="AA26" s="7">
        <v>9</v>
      </c>
      <c r="AB26" s="24">
        <v>10</v>
      </c>
      <c r="AC26" s="24">
        <v>13</v>
      </c>
      <c r="AD26" s="24">
        <v>21</v>
      </c>
      <c r="AE26" s="24">
        <v>20</v>
      </c>
      <c r="AF26" s="24">
        <v>29</v>
      </c>
      <c r="AG26" s="24">
        <v>28</v>
      </c>
      <c r="AH26" s="24">
        <v>180</v>
      </c>
      <c r="AI26" s="24">
        <v>167</v>
      </c>
      <c r="AJ26" s="24">
        <v>164</v>
      </c>
      <c r="AK26" s="24">
        <v>175</v>
      </c>
    </row>
    <row r="27" spans="1:40" s="5" customFormat="1" ht="14.1" customHeight="1">
      <c r="B27" s="51" t="s">
        <v>6</v>
      </c>
      <c r="C27" s="51"/>
      <c r="D27" s="51"/>
      <c r="E27" s="6">
        <f>58+70+5</f>
        <v>133</v>
      </c>
      <c r="F27" s="6">
        <f>64+46+4</f>
        <v>114</v>
      </c>
      <c r="G27" s="6">
        <f>57+44+4</f>
        <v>105</v>
      </c>
      <c r="H27" s="6">
        <f>52+47+3</f>
        <v>102</v>
      </c>
      <c r="I27" s="7">
        <v>101</v>
      </c>
      <c r="J27" s="7">
        <f>42+71+10</f>
        <v>123</v>
      </c>
      <c r="K27" s="7">
        <f>39+64+4</f>
        <v>107</v>
      </c>
      <c r="L27" s="7">
        <f>42+78+2</f>
        <v>122</v>
      </c>
      <c r="M27" s="7">
        <f>37+91+2</f>
        <v>130</v>
      </c>
      <c r="N27" s="7">
        <f>38+87+2</f>
        <v>127</v>
      </c>
      <c r="O27" s="7">
        <v>129</v>
      </c>
      <c r="P27" s="7">
        <f>43+85+1</f>
        <v>129</v>
      </c>
      <c r="Q27" s="7">
        <f>Q36-Q23</f>
        <v>35</v>
      </c>
      <c r="R27" s="7">
        <f>R36-R23</f>
        <v>33</v>
      </c>
      <c r="S27" s="7">
        <v>27</v>
      </c>
      <c r="T27" s="7">
        <v>27</v>
      </c>
      <c r="U27" s="7">
        <v>27</v>
      </c>
      <c r="V27" s="7">
        <v>25</v>
      </c>
      <c r="W27" s="7">
        <v>26</v>
      </c>
      <c r="X27" s="7">
        <v>24</v>
      </c>
      <c r="Y27" s="7">
        <v>40</v>
      </c>
      <c r="Z27" s="7">
        <v>47</v>
      </c>
      <c r="AA27" s="7">
        <v>46</v>
      </c>
      <c r="AB27" s="24">
        <v>48</v>
      </c>
      <c r="AC27" s="24">
        <v>51</v>
      </c>
      <c r="AD27" s="24">
        <v>47</v>
      </c>
      <c r="AE27" s="24">
        <v>47</v>
      </c>
      <c r="AF27" s="24">
        <v>69</v>
      </c>
      <c r="AG27" s="24">
        <v>74</v>
      </c>
      <c r="AH27" s="24">
        <v>252</v>
      </c>
      <c r="AI27" s="24">
        <v>247</v>
      </c>
      <c r="AJ27" s="24">
        <v>223</v>
      </c>
      <c r="AK27" s="24">
        <v>224</v>
      </c>
    </row>
    <row r="28" spans="1:40" s="5" customFormat="1" ht="14.1" hidden="1" customHeight="1">
      <c r="B28" s="51" t="s">
        <v>7</v>
      </c>
      <c r="C28" s="51"/>
      <c r="D28" s="51"/>
      <c r="E28" s="6">
        <f>107+157+1+2</f>
        <v>267</v>
      </c>
      <c r="F28" s="6">
        <f>98+97+0-3</f>
        <v>192</v>
      </c>
      <c r="G28" s="6">
        <f>81+98+1</f>
        <v>180</v>
      </c>
      <c r="H28" s="6">
        <f>72+106+0</f>
        <v>178</v>
      </c>
      <c r="I28" s="7">
        <f>59+114+1</f>
        <v>174</v>
      </c>
      <c r="J28" s="7">
        <f>51+129</f>
        <v>180</v>
      </c>
      <c r="K28" s="7">
        <f>49+153+2</f>
        <v>204</v>
      </c>
      <c r="L28" s="7">
        <f>49+127</f>
        <v>176</v>
      </c>
      <c r="M28" s="7">
        <f>53+147</f>
        <v>200</v>
      </c>
      <c r="N28" s="7">
        <f>54+146</f>
        <v>200</v>
      </c>
      <c r="O28" s="7">
        <v>189</v>
      </c>
      <c r="P28" s="7">
        <f>50+148</f>
        <v>198</v>
      </c>
      <c r="Q28" s="7">
        <f>Q37-Q20</f>
        <v>44</v>
      </c>
      <c r="R28" s="7">
        <f>R37-R20</f>
        <v>40</v>
      </c>
      <c r="S28" s="7">
        <v>39</v>
      </c>
      <c r="T28" s="7">
        <v>41</v>
      </c>
      <c r="U28" s="7">
        <v>38</v>
      </c>
      <c r="V28" s="7">
        <v>37</v>
      </c>
      <c r="W28" s="7">
        <v>42</v>
      </c>
      <c r="X28" s="7">
        <v>40</v>
      </c>
      <c r="Y28" s="7">
        <v>39</v>
      </c>
      <c r="Z28" s="7">
        <v>37</v>
      </c>
      <c r="AA28" s="7">
        <v>38</v>
      </c>
      <c r="AB28" s="24">
        <v>39</v>
      </c>
      <c r="AC28" s="24">
        <v>34</v>
      </c>
      <c r="AD28" s="24">
        <v>34</v>
      </c>
      <c r="AE28" s="24">
        <v>25</v>
      </c>
      <c r="AF28" s="24">
        <v>0</v>
      </c>
      <c r="AG28" s="24">
        <v>0</v>
      </c>
      <c r="AH28" s="24">
        <v>0</v>
      </c>
      <c r="AI28" s="24"/>
      <c r="AJ28" s="24"/>
      <c r="AK28" s="24"/>
    </row>
    <row r="29" spans="1:40" s="5" customFormat="1" ht="14.1" customHeight="1">
      <c r="A29" s="11"/>
      <c r="B29" s="51" t="s">
        <v>9</v>
      </c>
      <c r="C29" s="51"/>
      <c r="D29" s="51"/>
      <c r="E29" s="12"/>
      <c r="F29" s="12"/>
      <c r="G29" s="12"/>
      <c r="H29" s="12"/>
      <c r="I29" s="13"/>
      <c r="J29" s="13"/>
      <c r="K29" s="13"/>
      <c r="L29" s="13"/>
      <c r="M29" s="13"/>
      <c r="N29" s="13"/>
      <c r="O29" s="13"/>
      <c r="P29" s="13"/>
      <c r="Q29" s="13">
        <f>Q38</f>
        <v>264</v>
      </c>
      <c r="R29" s="13">
        <f>R38</f>
        <v>289</v>
      </c>
      <c r="S29" s="13">
        <f>S38</f>
        <v>284</v>
      </c>
      <c r="T29" s="13">
        <v>295</v>
      </c>
      <c r="U29" s="13">
        <v>312</v>
      </c>
      <c r="V29" s="13">
        <v>311</v>
      </c>
      <c r="W29" s="13">
        <v>329</v>
      </c>
      <c r="X29" s="13">
        <v>322</v>
      </c>
      <c r="Y29" s="13">
        <v>334</v>
      </c>
      <c r="Z29" s="13">
        <v>373</v>
      </c>
      <c r="AA29" s="13">
        <v>411</v>
      </c>
      <c r="AB29" s="49">
        <v>453</v>
      </c>
      <c r="AC29" s="49">
        <v>467</v>
      </c>
      <c r="AD29" s="49">
        <v>475</v>
      </c>
      <c r="AE29" s="49">
        <v>497</v>
      </c>
      <c r="AF29" s="49">
        <v>492</v>
      </c>
      <c r="AG29" s="49">
        <v>468</v>
      </c>
      <c r="AH29" s="49">
        <v>121</v>
      </c>
      <c r="AI29" s="49">
        <v>88</v>
      </c>
      <c r="AJ29" s="49">
        <v>100</v>
      </c>
      <c r="AK29" s="49">
        <v>67</v>
      </c>
      <c r="AN29" s="31"/>
    </row>
    <row r="30" spans="1:40" s="31" customFormat="1" ht="15" customHeight="1">
      <c r="A30" s="54" t="s">
        <v>22</v>
      </c>
      <c r="B30" s="54"/>
      <c r="C30" s="54"/>
      <c r="D30" s="54"/>
      <c r="E30" s="33">
        <f t="shared" ref="E30:P30" si="19">SUM(E31:E37)</f>
        <v>1903</v>
      </c>
      <c r="F30" s="33">
        <f t="shared" si="19"/>
        <v>1785</v>
      </c>
      <c r="G30" s="33">
        <f t="shared" si="19"/>
        <v>1759</v>
      </c>
      <c r="H30" s="33">
        <f t="shared" si="19"/>
        <v>1762</v>
      </c>
      <c r="I30" s="33">
        <f t="shared" si="19"/>
        <v>1759</v>
      </c>
      <c r="J30" s="33">
        <f t="shared" si="19"/>
        <v>1781</v>
      </c>
      <c r="K30" s="33">
        <f t="shared" si="19"/>
        <v>1786</v>
      </c>
      <c r="L30" s="33">
        <f t="shared" si="19"/>
        <v>1749</v>
      </c>
      <c r="M30" s="33">
        <f t="shared" si="19"/>
        <v>1797</v>
      </c>
      <c r="N30" s="33">
        <f t="shared" si="19"/>
        <v>1781</v>
      </c>
      <c r="O30" s="30">
        <f t="shared" si="19"/>
        <v>1779</v>
      </c>
      <c r="P30" s="30">
        <f t="shared" si="19"/>
        <v>1757</v>
      </c>
      <c r="Q30" s="30">
        <f t="shared" ref="Q30:AE30" si="20">SUM(Q31:Q38)</f>
        <v>1720</v>
      </c>
      <c r="R30" s="30">
        <f t="shared" si="20"/>
        <v>1751</v>
      </c>
      <c r="S30" s="30">
        <f t="shared" si="20"/>
        <v>1707</v>
      </c>
      <c r="T30" s="30">
        <f t="shared" si="20"/>
        <v>1734</v>
      </c>
      <c r="U30" s="30">
        <f t="shared" si="20"/>
        <v>1709</v>
      </c>
      <c r="V30" s="30">
        <f t="shared" si="20"/>
        <v>1676</v>
      </c>
      <c r="W30" s="30">
        <f t="shared" si="20"/>
        <v>1723</v>
      </c>
      <c r="X30" s="30">
        <f t="shared" si="20"/>
        <v>1746</v>
      </c>
      <c r="Y30" s="30">
        <f t="shared" si="20"/>
        <v>1740</v>
      </c>
      <c r="Z30" s="30">
        <f t="shared" si="20"/>
        <v>1766</v>
      </c>
      <c r="AA30" s="30">
        <f t="shared" si="20"/>
        <v>1845</v>
      </c>
      <c r="AB30" s="45">
        <f t="shared" si="20"/>
        <v>1869</v>
      </c>
      <c r="AC30" s="45">
        <f t="shared" si="20"/>
        <v>1892</v>
      </c>
      <c r="AD30" s="45">
        <f t="shared" si="20"/>
        <v>1973</v>
      </c>
      <c r="AE30" s="45">
        <f t="shared" si="20"/>
        <v>1969</v>
      </c>
      <c r="AF30" s="45">
        <f>SUM(AF31:AF38)</f>
        <v>1966</v>
      </c>
      <c r="AG30" s="45">
        <f>AG24+AG17</f>
        <v>1933</v>
      </c>
      <c r="AH30" s="45">
        <f>AH24+AH17</f>
        <v>1910</v>
      </c>
      <c r="AI30" s="45">
        <f>AI24+AI17</f>
        <v>1858</v>
      </c>
      <c r="AJ30" s="45">
        <f>AJ24+AJ17</f>
        <v>1799</v>
      </c>
      <c r="AK30" s="45">
        <f>AK24+AK17</f>
        <v>1749</v>
      </c>
    </row>
    <row r="31" spans="1:40" s="31" customFormat="1" ht="14.1" customHeight="1">
      <c r="B31" s="56" t="s">
        <v>2</v>
      </c>
      <c r="C31" s="56"/>
      <c r="D31" s="56"/>
      <c r="E31" s="35">
        <f t="shared" ref="E31:P31" si="21">SUM(E6)</f>
        <v>48</v>
      </c>
      <c r="F31" s="35">
        <f t="shared" si="21"/>
        <v>51</v>
      </c>
      <c r="G31" s="35">
        <f t="shared" si="21"/>
        <v>50</v>
      </c>
      <c r="H31" s="35">
        <f t="shared" si="21"/>
        <v>52</v>
      </c>
      <c r="I31" s="36">
        <f t="shared" si="21"/>
        <v>54</v>
      </c>
      <c r="J31" s="36">
        <f t="shared" si="21"/>
        <v>53</v>
      </c>
      <c r="K31" s="36">
        <f t="shared" si="21"/>
        <v>58</v>
      </c>
      <c r="L31" s="36">
        <f t="shared" si="21"/>
        <v>58</v>
      </c>
      <c r="M31" s="36">
        <f t="shared" si="21"/>
        <v>53</v>
      </c>
      <c r="N31" s="36">
        <f t="shared" si="21"/>
        <v>51</v>
      </c>
      <c r="O31" s="36">
        <f t="shared" si="21"/>
        <v>49</v>
      </c>
      <c r="P31" s="36">
        <f t="shared" si="21"/>
        <v>47</v>
      </c>
      <c r="Q31" s="36">
        <v>43</v>
      </c>
      <c r="R31" s="36">
        <v>42</v>
      </c>
      <c r="S31" s="36">
        <f t="shared" ref="S31:AE31" si="22">SUM(S6)</f>
        <v>41</v>
      </c>
      <c r="T31" s="36">
        <f t="shared" si="22"/>
        <v>38</v>
      </c>
      <c r="U31" s="36">
        <f t="shared" si="22"/>
        <v>39</v>
      </c>
      <c r="V31" s="36">
        <f t="shared" si="22"/>
        <v>39</v>
      </c>
      <c r="W31" s="37">
        <f t="shared" si="22"/>
        <v>38</v>
      </c>
      <c r="X31" s="37">
        <f t="shared" si="22"/>
        <v>39</v>
      </c>
      <c r="Y31" s="37">
        <f t="shared" si="22"/>
        <v>41</v>
      </c>
      <c r="Z31" s="37">
        <f t="shared" si="22"/>
        <v>40</v>
      </c>
      <c r="AA31" s="37">
        <f t="shared" si="22"/>
        <v>41</v>
      </c>
      <c r="AB31" s="50">
        <f t="shared" si="22"/>
        <v>41</v>
      </c>
      <c r="AC31" s="50">
        <f t="shared" si="22"/>
        <v>42</v>
      </c>
      <c r="AD31" s="50">
        <f t="shared" si="22"/>
        <v>44</v>
      </c>
      <c r="AE31" s="50">
        <f t="shared" si="22"/>
        <v>44</v>
      </c>
      <c r="AF31" s="50">
        <f>SUM(AF6)</f>
        <v>48</v>
      </c>
      <c r="AG31" s="50">
        <f t="shared" ref="AG31:AG33" si="23">AG18</f>
        <v>47</v>
      </c>
      <c r="AH31" s="50">
        <f>AH18</f>
        <v>23</v>
      </c>
      <c r="AI31" s="50">
        <f t="shared" ref="AI31" si="24">AI18</f>
        <v>46</v>
      </c>
      <c r="AJ31" s="50">
        <f t="shared" ref="AJ31:AJ33" si="25">AJ18</f>
        <v>24</v>
      </c>
      <c r="AK31" s="50">
        <v>50</v>
      </c>
    </row>
    <row r="32" spans="1:40" s="31" customFormat="1" ht="14.1" customHeight="1">
      <c r="B32" s="56" t="s">
        <v>3</v>
      </c>
      <c r="C32" s="56"/>
      <c r="D32" s="56"/>
      <c r="E32" s="35"/>
      <c r="F32" s="35"/>
      <c r="G32" s="35">
        <f t="shared" ref="G32:P32" si="26">G7</f>
        <v>0</v>
      </c>
      <c r="H32" s="35">
        <f t="shared" si="26"/>
        <v>9</v>
      </c>
      <c r="I32" s="35">
        <f t="shared" si="26"/>
        <v>14</v>
      </c>
      <c r="J32" s="35">
        <f t="shared" si="26"/>
        <v>15</v>
      </c>
      <c r="K32" s="35">
        <f t="shared" si="26"/>
        <v>23</v>
      </c>
      <c r="L32" s="35">
        <f t="shared" si="26"/>
        <v>27</v>
      </c>
      <c r="M32" s="35">
        <f t="shared" si="26"/>
        <v>29</v>
      </c>
      <c r="N32" s="35">
        <f t="shared" si="26"/>
        <v>37</v>
      </c>
      <c r="O32" s="36">
        <f t="shared" si="26"/>
        <v>33</v>
      </c>
      <c r="P32" s="36">
        <f t="shared" si="26"/>
        <v>36</v>
      </c>
      <c r="Q32" s="36">
        <v>35</v>
      </c>
      <c r="R32" s="36">
        <v>37</v>
      </c>
      <c r="S32" s="36">
        <f t="shared" ref="S32:AE32" si="27">S7</f>
        <v>35</v>
      </c>
      <c r="T32" s="36">
        <f t="shared" si="27"/>
        <v>38</v>
      </c>
      <c r="U32" s="36">
        <f t="shared" si="27"/>
        <v>40</v>
      </c>
      <c r="V32" s="36">
        <f t="shared" si="27"/>
        <v>38</v>
      </c>
      <c r="W32" s="37">
        <f t="shared" si="27"/>
        <v>39</v>
      </c>
      <c r="X32" s="37">
        <f t="shared" si="27"/>
        <v>40</v>
      </c>
      <c r="Y32" s="37">
        <f t="shared" si="27"/>
        <v>41</v>
      </c>
      <c r="Z32" s="37">
        <f t="shared" si="27"/>
        <v>40</v>
      </c>
      <c r="AA32" s="37">
        <f t="shared" si="27"/>
        <v>40</v>
      </c>
      <c r="AB32" s="50">
        <f t="shared" si="27"/>
        <v>39</v>
      </c>
      <c r="AC32" s="50">
        <f t="shared" si="27"/>
        <v>37</v>
      </c>
      <c r="AD32" s="50">
        <f t="shared" si="27"/>
        <v>37</v>
      </c>
      <c r="AE32" s="50">
        <f t="shared" si="27"/>
        <v>37</v>
      </c>
      <c r="AF32" s="50">
        <f>AF7</f>
        <v>35</v>
      </c>
      <c r="AG32" s="50">
        <f t="shared" si="23"/>
        <v>31</v>
      </c>
      <c r="AH32" s="50">
        <f>AH19</f>
        <v>34</v>
      </c>
      <c r="AI32" s="50">
        <f t="shared" ref="AI32" si="28">AI19</f>
        <v>27</v>
      </c>
      <c r="AJ32" s="50">
        <f t="shared" si="25"/>
        <v>28</v>
      </c>
      <c r="AK32" s="50">
        <v>29</v>
      </c>
    </row>
    <row r="33" spans="1:40" s="31" customFormat="1" ht="14.1" customHeight="1">
      <c r="B33" s="56" t="s">
        <v>10</v>
      </c>
      <c r="C33" s="56"/>
      <c r="D33" s="56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6"/>
      <c r="P33" s="36"/>
      <c r="Q33" s="36"/>
      <c r="R33" s="36"/>
      <c r="S33" s="36">
        <v>0</v>
      </c>
      <c r="T33" s="36">
        <v>0</v>
      </c>
      <c r="U33" s="36">
        <v>0</v>
      </c>
      <c r="V33" s="36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50">
        <v>3</v>
      </c>
      <c r="AC33" s="50">
        <f>AC8</f>
        <v>6</v>
      </c>
      <c r="AD33" s="50">
        <f>AD8</f>
        <v>9</v>
      </c>
      <c r="AE33" s="50">
        <f>AE8</f>
        <v>10</v>
      </c>
      <c r="AF33" s="50">
        <f>AF8</f>
        <v>11</v>
      </c>
      <c r="AG33" s="50">
        <f t="shared" si="23"/>
        <v>11</v>
      </c>
      <c r="AH33" s="50">
        <f>AH20</f>
        <v>5</v>
      </c>
      <c r="AI33" s="50">
        <f t="shared" ref="AI33" si="29">AI20</f>
        <v>16</v>
      </c>
      <c r="AJ33" s="50">
        <f t="shared" si="25"/>
        <v>13</v>
      </c>
      <c r="AK33" s="50">
        <v>20</v>
      </c>
    </row>
    <row r="34" spans="1:40" s="31" customFormat="1" ht="14.1" customHeight="1">
      <c r="B34" s="56" t="s">
        <v>4</v>
      </c>
      <c r="C34" s="56"/>
      <c r="D34" s="56"/>
      <c r="E34" s="35">
        <f t="shared" ref="E34:P36" si="30">SUM(E9+E13+E25)</f>
        <v>672</v>
      </c>
      <c r="F34" s="35">
        <f t="shared" si="30"/>
        <v>655</v>
      </c>
      <c r="G34" s="35">
        <f t="shared" si="30"/>
        <v>648</v>
      </c>
      <c r="H34" s="35">
        <f t="shared" si="30"/>
        <v>628</v>
      </c>
      <c r="I34" s="36">
        <f t="shared" si="30"/>
        <v>625</v>
      </c>
      <c r="J34" s="36">
        <f t="shared" si="30"/>
        <v>627</v>
      </c>
      <c r="K34" s="36">
        <f t="shared" si="30"/>
        <v>610</v>
      </c>
      <c r="L34" s="36">
        <f t="shared" si="30"/>
        <v>595</v>
      </c>
      <c r="M34" s="36">
        <f t="shared" si="30"/>
        <v>594</v>
      </c>
      <c r="N34" s="36">
        <f t="shared" si="30"/>
        <v>561</v>
      </c>
      <c r="O34" s="36">
        <f t="shared" si="30"/>
        <v>558</v>
      </c>
      <c r="P34" s="36">
        <f t="shared" si="30"/>
        <v>542</v>
      </c>
      <c r="Q34" s="36">
        <f>553-35</f>
        <v>518</v>
      </c>
      <c r="R34" s="36">
        <f>545-37</f>
        <v>508</v>
      </c>
      <c r="S34" s="36">
        <f t="shared" ref="S34:AE36" si="31">SUM(S9+S13+S25)</f>
        <v>487</v>
      </c>
      <c r="T34" s="36">
        <f t="shared" si="31"/>
        <v>498</v>
      </c>
      <c r="U34" s="36">
        <f t="shared" si="31"/>
        <v>493</v>
      </c>
      <c r="V34" s="36">
        <f t="shared" si="31"/>
        <v>496</v>
      </c>
      <c r="W34" s="37">
        <f t="shared" si="31"/>
        <v>504</v>
      </c>
      <c r="X34" s="37">
        <f t="shared" si="31"/>
        <v>510</v>
      </c>
      <c r="Y34" s="37">
        <f t="shared" si="31"/>
        <v>510</v>
      </c>
      <c r="Z34" s="37">
        <f t="shared" si="31"/>
        <v>510</v>
      </c>
      <c r="AA34" s="37">
        <f t="shared" si="31"/>
        <v>528</v>
      </c>
      <c r="AB34" s="50">
        <f t="shared" si="31"/>
        <v>515</v>
      </c>
      <c r="AC34" s="50">
        <f t="shared" si="31"/>
        <v>495</v>
      </c>
      <c r="AD34" s="50">
        <f t="shared" si="31"/>
        <v>501</v>
      </c>
      <c r="AE34" s="50">
        <f t="shared" si="31"/>
        <v>501</v>
      </c>
      <c r="AF34" s="50">
        <f>SUM(AF9+AF13+AF25)</f>
        <v>494</v>
      </c>
      <c r="AG34" s="50">
        <f>AG21+AG25</f>
        <v>493</v>
      </c>
      <c r="AH34" s="50">
        <f t="shared" ref="AH34:AH36" si="32">AH21+AH25</f>
        <v>560</v>
      </c>
      <c r="AI34" s="50">
        <f t="shared" ref="AI34" si="33">AI21+AI25</f>
        <v>567</v>
      </c>
      <c r="AJ34" s="50">
        <f t="shared" ref="AJ34:AK36" si="34">AJ21+AJ25</f>
        <v>572</v>
      </c>
      <c r="AK34" s="50">
        <f t="shared" si="34"/>
        <v>544</v>
      </c>
    </row>
    <row r="35" spans="1:40" s="31" customFormat="1" ht="14.1" customHeight="1">
      <c r="B35" s="56" t="s">
        <v>5</v>
      </c>
      <c r="C35" s="56"/>
      <c r="D35" s="56"/>
      <c r="E35" s="35">
        <f t="shared" si="30"/>
        <v>447</v>
      </c>
      <c r="F35" s="35">
        <f t="shared" si="30"/>
        <v>444</v>
      </c>
      <c r="G35" s="35">
        <f t="shared" si="30"/>
        <v>454</v>
      </c>
      <c r="H35" s="35">
        <f t="shared" si="30"/>
        <v>476</v>
      </c>
      <c r="I35" s="36">
        <f t="shared" si="30"/>
        <v>480</v>
      </c>
      <c r="J35" s="36">
        <f t="shared" si="30"/>
        <v>493</v>
      </c>
      <c r="K35" s="36">
        <f t="shared" si="30"/>
        <v>486</v>
      </c>
      <c r="L35" s="36">
        <f t="shared" si="30"/>
        <v>477</v>
      </c>
      <c r="M35" s="36">
        <f t="shared" si="30"/>
        <v>494</v>
      </c>
      <c r="N35" s="36">
        <f t="shared" si="30"/>
        <v>486</v>
      </c>
      <c r="O35" s="36">
        <f t="shared" si="30"/>
        <v>468</v>
      </c>
      <c r="P35" s="36">
        <f t="shared" si="30"/>
        <v>462</v>
      </c>
      <c r="Q35" s="36">
        <v>448</v>
      </c>
      <c r="R35" s="36">
        <v>451</v>
      </c>
      <c r="S35" s="36">
        <f t="shared" si="31"/>
        <v>442</v>
      </c>
      <c r="T35" s="36">
        <f t="shared" si="31"/>
        <v>442</v>
      </c>
      <c r="U35" s="36">
        <f t="shared" si="31"/>
        <v>432</v>
      </c>
      <c r="V35" s="36">
        <f t="shared" si="31"/>
        <v>427</v>
      </c>
      <c r="W35" s="37">
        <f t="shared" si="31"/>
        <v>422</v>
      </c>
      <c r="X35" s="37">
        <f t="shared" si="31"/>
        <v>444</v>
      </c>
      <c r="Y35" s="37">
        <f t="shared" si="31"/>
        <v>435</v>
      </c>
      <c r="Z35" s="37">
        <f t="shared" si="31"/>
        <v>431</v>
      </c>
      <c r="AA35" s="37">
        <f t="shared" si="31"/>
        <v>439</v>
      </c>
      <c r="AB35" s="50">
        <f t="shared" si="31"/>
        <v>440</v>
      </c>
      <c r="AC35" s="50">
        <f t="shared" si="31"/>
        <v>446</v>
      </c>
      <c r="AD35" s="50">
        <f t="shared" si="31"/>
        <v>459</v>
      </c>
      <c r="AE35" s="50">
        <f t="shared" si="31"/>
        <v>439</v>
      </c>
      <c r="AF35" s="50">
        <f>SUM(AF10+AF14+AF26)</f>
        <v>443</v>
      </c>
      <c r="AG35" s="50">
        <f>AG22+AG26</f>
        <v>449</v>
      </c>
      <c r="AH35" s="50">
        <f t="shared" si="32"/>
        <v>580</v>
      </c>
      <c r="AI35" s="50">
        <f t="shared" ref="AI35" si="35">AI22+AI26</f>
        <v>577</v>
      </c>
      <c r="AJ35" s="50">
        <f t="shared" si="34"/>
        <v>594</v>
      </c>
      <c r="AK35" s="50">
        <f t="shared" si="34"/>
        <v>600</v>
      </c>
    </row>
    <row r="36" spans="1:40" s="31" customFormat="1" ht="14.1" customHeight="1">
      <c r="B36" s="56" t="s">
        <v>6</v>
      </c>
      <c r="C36" s="56"/>
      <c r="D36" s="56"/>
      <c r="E36" s="35">
        <f t="shared" si="30"/>
        <v>459</v>
      </c>
      <c r="F36" s="35">
        <f t="shared" si="30"/>
        <v>437</v>
      </c>
      <c r="G36" s="35">
        <f t="shared" si="30"/>
        <v>421</v>
      </c>
      <c r="H36" s="35">
        <f t="shared" si="30"/>
        <v>413</v>
      </c>
      <c r="I36" s="36">
        <f t="shared" si="30"/>
        <v>406</v>
      </c>
      <c r="J36" s="36">
        <f t="shared" si="30"/>
        <v>410</v>
      </c>
      <c r="K36" s="36">
        <f t="shared" si="30"/>
        <v>402</v>
      </c>
      <c r="L36" s="36">
        <f t="shared" si="30"/>
        <v>414</v>
      </c>
      <c r="M36" s="36">
        <f t="shared" si="30"/>
        <v>423</v>
      </c>
      <c r="N36" s="36">
        <f t="shared" si="30"/>
        <v>445</v>
      </c>
      <c r="O36" s="36">
        <f t="shared" si="30"/>
        <v>481</v>
      </c>
      <c r="P36" s="36">
        <f t="shared" si="30"/>
        <v>469</v>
      </c>
      <c r="Q36" s="36">
        <v>366</v>
      </c>
      <c r="R36" s="36">
        <v>383</v>
      </c>
      <c r="S36" s="36">
        <f t="shared" si="31"/>
        <v>379</v>
      </c>
      <c r="T36" s="36">
        <f t="shared" si="31"/>
        <v>382</v>
      </c>
      <c r="U36" s="36">
        <f t="shared" si="31"/>
        <v>355</v>
      </c>
      <c r="V36" s="36">
        <f t="shared" si="31"/>
        <v>328</v>
      </c>
      <c r="W36" s="37">
        <f t="shared" si="31"/>
        <v>349</v>
      </c>
      <c r="X36" s="37">
        <f t="shared" si="31"/>
        <v>351</v>
      </c>
      <c r="Y36" s="37">
        <f t="shared" si="31"/>
        <v>340</v>
      </c>
      <c r="Z36" s="37">
        <f t="shared" si="31"/>
        <v>335</v>
      </c>
      <c r="AA36" s="37">
        <f t="shared" si="31"/>
        <v>348</v>
      </c>
      <c r="AB36" s="50">
        <f t="shared" si="31"/>
        <v>339</v>
      </c>
      <c r="AC36" s="50">
        <f t="shared" si="31"/>
        <v>365</v>
      </c>
      <c r="AD36" s="50">
        <f t="shared" si="31"/>
        <v>414</v>
      </c>
      <c r="AE36" s="50">
        <f t="shared" si="31"/>
        <v>416</v>
      </c>
      <c r="AF36" s="50">
        <f>SUM(AF11+AF15+AF27)</f>
        <v>443</v>
      </c>
      <c r="AG36" s="50">
        <f>AG23+AG27</f>
        <v>434</v>
      </c>
      <c r="AH36" s="50">
        <f t="shared" si="32"/>
        <v>587</v>
      </c>
      <c r="AI36" s="50">
        <f t="shared" ref="AI36" si="36">AI23+AI27</f>
        <v>537</v>
      </c>
      <c r="AJ36" s="50">
        <f t="shared" si="34"/>
        <v>468</v>
      </c>
      <c r="AK36" s="50">
        <f t="shared" si="34"/>
        <v>436</v>
      </c>
    </row>
    <row r="37" spans="1:40" s="31" customFormat="1" ht="14.1" hidden="1" customHeight="1">
      <c r="B37" s="56" t="s">
        <v>7</v>
      </c>
      <c r="C37" s="56"/>
      <c r="D37" s="56"/>
      <c r="E37" s="35">
        <f t="shared" ref="E37:P37" si="37">SUM(E8+E16+E28)</f>
        <v>277</v>
      </c>
      <c r="F37" s="35">
        <f t="shared" si="37"/>
        <v>198</v>
      </c>
      <c r="G37" s="35">
        <f t="shared" si="37"/>
        <v>186</v>
      </c>
      <c r="H37" s="35">
        <f t="shared" si="37"/>
        <v>184</v>
      </c>
      <c r="I37" s="36">
        <f t="shared" si="37"/>
        <v>180</v>
      </c>
      <c r="J37" s="36">
        <f t="shared" si="37"/>
        <v>183</v>
      </c>
      <c r="K37" s="36">
        <f t="shared" si="37"/>
        <v>207</v>
      </c>
      <c r="L37" s="36">
        <f t="shared" si="37"/>
        <v>178</v>
      </c>
      <c r="M37" s="36">
        <f t="shared" si="37"/>
        <v>204</v>
      </c>
      <c r="N37" s="36">
        <f t="shared" si="37"/>
        <v>201</v>
      </c>
      <c r="O37" s="36">
        <f t="shared" si="37"/>
        <v>190</v>
      </c>
      <c r="P37" s="36">
        <f t="shared" si="37"/>
        <v>201</v>
      </c>
      <c r="Q37" s="36">
        <v>46</v>
      </c>
      <c r="R37" s="36">
        <f>40+1</f>
        <v>41</v>
      </c>
      <c r="S37" s="36">
        <v>39</v>
      </c>
      <c r="T37" s="36">
        <v>41</v>
      </c>
      <c r="U37" s="36">
        <v>38</v>
      </c>
      <c r="V37" s="36">
        <f>V28+V20+V16+V8</f>
        <v>37</v>
      </c>
      <c r="W37" s="37">
        <f>W28+W16+W8</f>
        <v>42</v>
      </c>
      <c r="X37" s="37">
        <f>X28+X16+X8</f>
        <v>40</v>
      </c>
      <c r="Y37" s="37">
        <f>Y28+Y16+Y8</f>
        <v>39</v>
      </c>
      <c r="Z37" s="37">
        <f>Z28+Z16+Z8</f>
        <v>37</v>
      </c>
      <c r="AA37" s="37">
        <f>AA28+AA16+AA8</f>
        <v>38</v>
      </c>
      <c r="AB37" s="50">
        <f t="shared" ref="AB37:AK38" si="38">AB28</f>
        <v>39</v>
      </c>
      <c r="AC37" s="50">
        <f t="shared" si="38"/>
        <v>34</v>
      </c>
      <c r="AD37" s="50">
        <f t="shared" si="38"/>
        <v>34</v>
      </c>
      <c r="AE37" s="50">
        <f t="shared" si="38"/>
        <v>25</v>
      </c>
      <c r="AF37" s="50">
        <f t="shared" si="38"/>
        <v>0</v>
      </c>
      <c r="AG37" s="50">
        <f t="shared" si="38"/>
        <v>0</v>
      </c>
      <c r="AH37" s="50">
        <f>AH28</f>
        <v>0</v>
      </c>
      <c r="AI37" s="50">
        <f t="shared" ref="AI37:AJ37" si="39">AI28</f>
        <v>0</v>
      </c>
      <c r="AJ37" s="50">
        <f t="shared" si="39"/>
        <v>0</v>
      </c>
      <c r="AK37" s="50">
        <f t="shared" si="38"/>
        <v>0</v>
      </c>
    </row>
    <row r="38" spans="1:40" s="31" customFormat="1" ht="14.1" customHeight="1">
      <c r="B38" s="56" t="s">
        <v>9</v>
      </c>
      <c r="C38" s="56"/>
      <c r="D38" s="56"/>
      <c r="E38" s="35"/>
      <c r="F38" s="35"/>
      <c r="G38" s="35"/>
      <c r="H38" s="35"/>
      <c r="I38" s="36"/>
      <c r="J38" s="36"/>
      <c r="K38" s="36"/>
      <c r="L38" s="36"/>
      <c r="M38" s="36"/>
      <c r="N38" s="36"/>
      <c r="O38" s="36"/>
      <c r="P38" s="36"/>
      <c r="Q38" s="36">
        <v>264</v>
      </c>
      <c r="R38" s="36">
        <f>275+12+2</f>
        <v>289</v>
      </c>
      <c r="S38" s="36">
        <f>253+19+10+2</f>
        <v>284</v>
      </c>
      <c r="T38" s="36">
        <v>295</v>
      </c>
      <c r="U38" s="36">
        <v>312</v>
      </c>
      <c r="V38" s="36">
        <f t="shared" ref="V38:AA38" si="40">V29</f>
        <v>311</v>
      </c>
      <c r="W38" s="37">
        <f t="shared" si="40"/>
        <v>329</v>
      </c>
      <c r="X38" s="37">
        <f t="shared" si="40"/>
        <v>322</v>
      </c>
      <c r="Y38" s="37">
        <f t="shared" si="40"/>
        <v>334</v>
      </c>
      <c r="Z38" s="37">
        <f t="shared" si="40"/>
        <v>373</v>
      </c>
      <c r="AA38" s="37">
        <f t="shared" si="40"/>
        <v>411</v>
      </c>
      <c r="AB38" s="50">
        <f t="shared" si="38"/>
        <v>453</v>
      </c>
      <c r="AC38" s="50">
        <f t="shared" si="38"/>
        <v>467</v>
      </c>
      <c r="AD38" s="50">
        <f t="shared" si="38"/>
        <v>475</v>
      </c>
      <c r="AE38" s="50">
        <f t="shared" si="38"/>
        <v>497</v>
      </c>
      <c r="AF38" s="50">
        <f t="shared" si="38"/>
        <v>492</v>
      </c>
      <c r="AG38" s="50">
        <f t="shared" si="38"/>
        <v>468</v>
      </c>
      <c r="AH38" s="50">
        <f>AH29</f>
        <v>121</v>
      </c>
      <c r="AI38" s="50">
        <f>AI29</f>
        <v>88</v>
      </c>
      <c r="AJ38" s="50">
        <f>AJ29</f>
        <v>100</v>
      </c>
      <c r="AK38" s="50">
        <f>AK29</f>
        <v>67</v>
      </c>
      <c r="AN38" s="32"/>
    </row>
    <row r="39" spans="1:40" ht="14.1" customHeight="1">
      <c r="AN39" s="21"/>
    </row>
    <row r="40" spans="1:40" s="39" customFormat="1" ht="15" customHeight="1">
      <c r="A40" s="38" t="s">
        <v>34</v>
      </c>
      <c r="AG40" s="38"/>
      <c r="AH40" s="38"/>
      <c r="AI40" s="38"/>
      <c r="AJ40" s="38"/>
      <c r="AK40" s="38"/>
      <c r="AN40" s="40"/>
    </row>
    <row r="41" spans="1:40" s="40" customFormat="1" ht="13.5" customHeight="1">
      <c r="A41" s="41" t="s">
        <v>35</v>
      </c>
      <c r="AG41" s="41"/>
      <c r="AH41" s="41"/>
      <c r="AI41" s="41"/>
      <c r="AJ41" s="41"/>
      <c r="AK41" s="41"/>
    </row>
    <row r="42" spans="1:40" s="40" customFormat="1" ht="15" customHeight="1">
      <c r="A42" s="38" t="s">
        <v>24</v>
      </c>
      <c r="AJ42" s="41"/>
      <c r="AK42" s="42"/>
    </row>
    <row r="43" spans="1:40" s="40" customFormat="1" ht="13.5" customHeight="1">
      <c r="A43" s="41" t="s">
        <v>36</v>
      </c>
      <c r="AG43" s="41"/>
      <c r="AH43" s="41"/>
      <c r="AI43" s="41"/>
      <c r="AJ43" s="41"/>
      <c r="AK43" s="41"/>
    </row>
    <row r="44" spans="1:40" s="40" customFormat="1" ht="15" customHeight="1">
      <c r="A44" s="38" t="s">
        <v>25</v>
      </c>
      <c r="AJ44" s="41"/>
      <c r="AK44" s="42"/>
    </row>
    <row r="45" spans="1:40" s="40" customFormat="1" ht="13.5" customHeight="1">
      <c r="A45" s="41" t="s">
        <v>37</v>
      </c>
      <c r="AG45" s="41"/>
      <c r="AH45" s="41"/>
      <c r="AI45" s="41"/>
      <c r="AJ45" s="41"/>
      <c r="AK45" s="41"/>
    </row>
    <row r="46" spans="1:40" s="40" customFormat="1" ht="15" customHeight="1">
      <c r="A46" s="38" t="s">
        <v>26</v>
      </c>
      <c r="AJ46" s="41"/>
      <c r="AK46" s="42"/>
    </row>
    <row r="47" spans="1:40" s="40" customFormat="1" ht="13.5" customHeight="1">
      <c r="A47" s="41" t="s">
        <v>38</v>
      </c>
      <c r="AG47" s="41"/>
      <c r="AH47" s="41"/>
      <c r="AI47" s="41"/>
      <c r="AJ47" s="41"/>
      <c r="AK47" s="41"/>
    </row>
    <row r="48" spans="1:40" s="40" customFormat="1" ht="15" customHeight="1">
      <c r="A48" s="38" t="s">
        <v>27</v>
      </c>
      <c r="AJ48" s="41"/>
      <c r="AK48" s="42"/>
      <c r="AN48" s="43"/>
    </row>
    <row r="49" spans="1:40" s="15" customFormat="1" ht="16.5" customHeight="1">
      <c r="A49" s="14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23"/>
      <c r="AH49" s="23"/>
      <c r="AI49" s="23"/>
      <c r="AJ49" s="23"/>
      <c r="AK49" s="23"/>
      <c r="AN49"/>
    </row>
    <row r="50" spans="1:40" ht="15" customHeight="1"/>
    <row r="51" spans="1:40" ht="15" customHeight="1"/>
    <row r="52" spans="1:40" ht="15" customHeight="1"/>
    <row r="53" spans="1:40" ht="15" customHeight="1"/>
    <row r="54" spans="1:40" ht="15" customHeight="1"/>
    <row r="55" spans="1:40" ht="15" customHeight="1"/>
    <row r="56" spans="1:40" ht="15" customHeight="1"/>
    <row r="57" spans="1:40" ht="15" customHeight="1"/>
    <row r="58" spans="1:40" ht="15" customHeight="1"/>
    <row r="59" spans="1:40" ht="15" customHeight="1"/>
    <row r="60" spans="1:40" ht="15" customHeight="1"/>
    <row r="61" spans="1:40" ht="15" customHeight="1"/>
    <row r="62" spans="1:40" ht="15" customHeight="1"/>
    <row r="63" spans="1:40" ht="15" customHeight="1"/>
    <row r="64" spans="1:40" ht="15" customHeight="1"/>
    <row r="65" spans="1:40" ht="15" customHeight="1"/>
    <row r="66" spans="1:40" s="16" customFormat="1" ht="15" customHeight="1"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</row>
    <row r="67" spans="1:40" s="16" customFormat="1" ht="15" customHeight="1">
      <c r="A67" s="53" t="s">
        <v>23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17"/>
      <c r="AG67" s="17"/>
      <c r="AH67" s="17"/>
      <c r="AI67" s="17"/>
      <c r="AJ67" s="17"/>
      <c r="AK67" s="17"/>
    </row>
    <row r="68" spans="1:40" s="16" customFormat="1" ht="15" customHeight="1">
      <c r="A68" s="53" t="s">
        <v>39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17"/>
      <c r="AG68" s="17"/>
      <c r="AH68" s="17"/>
      <c r="AI68" s="17"/>
      <c r="AJ68" s="17"/>
      <c r="AK68" s="17"/>
      <c r="AN68"/>
    </row>
    <row r="69" spans="1:40" ht="12.75" customHeight="1"/>
    <row r="70" spans="1:40" ht="12.75" customHeight="1"/>
    <row r="71" spans="1:40" ht="12.75" customHeight="1"/>
    <row r="72" spans="1:40" ht="12.75" customHeight="1"/>
    <row r="73" spans="1:40" ht="12.75" customHeight="1"/>
    <row r="74" spans="1:40" ht="12.75" customHeight="1"/>
    <row r="75" spans="1:40" ht="12.75" customHeight="1"/>
    <row r="76" spans="1:40" ht="12.75" customHeight="1"/>
    <row r="77" spans="1:40" ht="12.75" customHeight="1"/>
    <row r="78" spans="1:40" ht="12.75" customHeight="1"/>
    <row r="79" spans="1:40" ht="12.75" customHeight="1"/>
    <row r="80" spans="1:4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</sheetData>
  <mergeCells count="31">
    <mergeCell ref="A67:AE67"/>
    <mergeCell ref="A68:AE68"/>
    <mergeCell ref="B34:D34"/>
    <mergeCell ref="B35:D35"/>
    <mergeCell ref="B36:D36"/>
    <mergeCell ref="B37:D37"/>
    <mergeCell ref="B38:D38"/>
    <mergeCell ref="B33:D33"/>
    <mergeCell ref="B15:D15"/>
    <mergeCell ref="D18:F18"/>
    <mergeCell ref="A24:D24"/>
    <mergeCell ref="B25:D25"/>
    <mergeCell ref="B26:D26"/>
    <mergeCell ref="B27:D27"/>
    <mergeCell ref="B28:D28"/>
    <mergeCell ref="B29:D29"/>
    <mergeCell ref="A30:D30"/>
    <mergeCell ref="B31:D31"/>
    <mergeCell ref="B32:D32"/>
    <mergeCell ref="B14:D14"/>
    <mergeCell ref="A2:AD2"/>
    <mergeCell ref="A3:AD3"/>
    <mergeCell ref="A5:D5"/>
    <mergeCell ref="B6:D6"/>
    <mergeCell ref="B7:D7"/>
    <mergeCell ref="B8:D8"/>
    <mergeCell ref="B9:D9"/>
    <mergeCell ref="B10:D10"/>
    <mergeCell ref="B11:D11"/>
    <mergeCell ref="A12:D12"/>
    <mergeCell ref="B13:D13"/>
  </mergeCells>
  <printOptions horizontalCentered="1"/>
  <pageMargins left="0.5" right="0.5" top="0.65" bottom="0.6" header="0.3" footer="0.3"/>
  <pageSetup scale="77" orientation="portrait" horizontalDpi="4294967292" verticalDpi="4294967292" r:id="rId1"/>
  <headerFooter alignWithMargins="0"/>
  <rowBreaks count="1" manualBreakCount="1">
    <brk id="6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/>
  </sheetViews>
  <sheetFormatPr defaultRowHeight="13.2"/>
  <cols>
    <col min="1" max="1" width="23.21875" bestFit="1" customWidth="1"/>
  </cols>
  <sheetData>
    <row r="1" spans="1:12">
      <c r="B1" s="25">
        <v>2012</v>
      </c>
      <c r="C1" s="25">
        <v>2013</v>
      </c>
      <c r="D1" s="25">
        <v>2014</v>
      </c>
      <c r="E1" s="25">
        <v>2015</v>
      </c>
      <c r="F1" s="25">
        <v>2016</v>
      </c>
      <c r="G1" s="25">
        <v>2017</v>
      </c>
      <c r="H1" s="25">
        <v>2018</v>
      </c>
      <c r="I1" s="25">
        <v>2019</v>
      </c>
      <c r="J1" s="25">
        <v>2020</v>
      </c>
      <c r="K1" s="25">
        <v>2021</v>
      </c>
      <c r="L1" s="25">
        <v>2022</v>
      </c>
    </row>
    <row r="2" spans="1:12">
      <c r="A2" t="s">
        <v>11</v>
      </c>
      <c r="B2" s="26">
        <v>1028</v>
      </c>
      <c r="C2" s="26">
        <v>1013</v>
      </c>
      <c r="D2" s="26">
        <v>1003</v>
      </c>
      <c r="E2" s="26">
        <v>1020</v>
      </c>
      <c r="F2" s="26">
        <v>997</v>
      </c>
      <c r="G2" s="26">
        <v>979</v>
      </c>
      <c r="H2" s="26">
        <v>986</v>
      </c>
      <c r="I2" s="26">
        <v>966</v>
      </c>
      <c r="J2" s="26">
        <v>981</v>
      </c>
      <c r="K2" s="26">
        <v>963</v>
      </c>
      <c r="L2" s="25">
        <v>953</v>
      </c>
    </row>
    <row r="3" spans="1:12">
      <c r="A3" t="s">
        <v>12</v>
      </c>
      <c r="B3" s="26">
        <v>303</v>
      </c>
      <c r="C3" s="26">
        <v>293</v>
      </c>
      <c r="D3" s="26">
        <v>315</v>
      </c>
      <c r="E3" s="26">
        <v>369</v>
      </c>
      <c r="F3" s="26">
        <v>376</v>
      </c>
      <c r="G3" s="26">
        <v>383</v>
      </c>
      <c r="H3" s="26">
        <v>369</v>
      </c>
      <c r="I3" s="26">
        <v>343</v>
      </c>
      <c r="J3" s="26">
        <v>298</v>
      </c>
      <c r="K3" s="26">
        <v>256</v>
      </c>
      <c r="L3" s="25">
        <v>223</v>
      </c>
    </row>
    <row r="4" spans="1:12">
      <c r="A4" t="s">
        <v>28</v>
      </c>
      <c r="B4" s="26">
        <v>514</v>
      </c>
      <c r="C4" s="26">
        <v>563</v>
      </c>
      <c r="D4" s="26">
        <v>574</v>
      </c>
      <c r="E4" s="26">
        <v>584</v>
      </c>
      <c r="F4" s="26">
        <v>596</v>
      </c>
      <c r="G4" s="26">
        <v>604</v>
      </c>
      <c r="H4" s="26">
        <v>578</v>
      </c>
      <c r="I4" s="26">
        <v>601</v>
      </c>
      <c r="J4" s="26">
        <v>581</v>
      </c>
      <c r="K4" s="26">
        <v>580</v>
      </c>
      <c r="L4" s="25">
        <v>573</v>
      </c>
    </row>
    <row r="5" spans="1:12">
      <c r="H5" s="19"/>
      <c r="I5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Faculty by Rank</vt:lpstr>
      <vt:lpstr>Data for Graph</vt:lpstr>
      <vt:lpstr>'Faculty by Rank'!Print_Area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Andringa, Chris [I RES]</cp:lastModifiedBy>
  <cp:lastPrinted>2022-12-20T16:24:07Z</cp:lastPrinted>
  <dcterms:created xsi:type="dcterms:W3CDTF">1999-11-10T22:42:55Z</dcterms:created>
  <dcterms:modified xsi:type="dcterms:W3CDTF">2023-02-14T15:37:16Z</dcterms:modified>
</cp:coreProperties>
</file>