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R Staff\Fact Book\Fact Book Pages 2021-22\__Ready for Review\"/>
    </mc:Choice>
  </mc:AlternateContent>
  <bookViews>
    <workbookView xWindow="-108" yWindow="-108" windowWidth="23256" windowHeight="12576" tabRatio="602"/>
  </bookViews>
  <sheets>
    <sheet name="SCH Taught by Fac TA" sheetId="3" r:id="rId1"/>
    <sheet name="Data for Chart" sheetId="4" state="hidden" r:id="rId2"/>
  </sheets>
  <definedNames>
    <definedName name="_xlnm.Print_Area" localSheetId="0">'SCH Taught by Fac TA'!$A$1:$K$71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" i="4" l="1"/>
  <c r="K79" i="4"/>
  <c r="K75" i="4"/>
  <c r="K76" i="4"/>
  <c r="K77" i="4"/>
  <c r="K78" i="4"/>
  <c r="F48" i="4"/>
  <c r="D48" i="4"/>
  <c r="K48" i="4"/>
  <c r="K46" i="4"/>
  <c r="J48" i="4"/>
  <c r="F65" i="4"/>
  <c r="J65" i="4"/>
  <c r="I48" i="4"/>
  <c r="H65" i="4"/>
  <c r="I65" i="4"/>
  <c r="E77" i="4"/>
  <c r="C77" i="4"/>
  <c r="C74" i="4"/>
  <c r="E79" i="4"/>
  <c r="C79" i="4"/>
  <c r="K47" i="4"/>
  <c r="F47" i="4"/>
  <c r="D47" i="4"/>
  <c r="I47" i="4"/>
  <c r="J47" i="4"/>
  <c r="H47" i="4"/>
  <c r="K74" i="4"/>
  <c r="E78" i="4"/>
  <c r="E76" i="4"/>
  <c r="E75" i="4"/>
  <c r="C78" i="4"/>
  <c r="C76" i="4"/>
  <c r="C75" i="4"/>
  <c r="E74" i="4"/>
  <c r="F64" i="4"/>
  <c r="F63" i="4"/>
  <c r="D63" i="4"/>
  <c r="I63" i="4"/>
  <c r="F62" i="4"/>
  <c r="F61" i="4"/>
  <c r="J61" i="4"/>
  <c r="F60" i="4"/>
  <c r="J60" i="4"/>
  <c r="F59" i="4"/>
  <c r="J64" i="4"/>
  <c r="H64" i="4"/>
  <c r="D64" i="4"/>
  <c r="I64" i="4"/>
  <c r="D62" i="4"/>
  <c r="I62" i="4"/>
  <c r="D59" i="4"/>
  <c r="I59" i="4"/>
  <c r="H59" i="4"/>
  <c r="J62" i="4"/>
  <c r="H60" i="4"/>
  <c r="J59" i="4"/>
  <c r="J63" i="4"/>
  <c r="H61" i="4"/>
  <c r="H63" i="4"/>
  <c r="D61" i="4"/>
  <c r="I61" i="4"/>
  <c r="D60" i="4"/>
  <c r="I60" i="4"/>
  <c r="H62" i="4"/>
  <c r="K45" i="4"/>
  <c r="F45" i="4"/>
  <c r="H45" i="4"/>
  <c r="F46" i="4"/>
  <c r="H79" i="4"/>
  <c r="F44" i="4"/>
  <c r="D44" i="4"/>
  <c r="I44" i="4"/>
  <c r="K44" i="4"/>
  <c r="K43" i="4"/>
  <c r="F43" i="4"/>
  <c r="H43" i="4"/>
  <c r="D43" i="4"/>
  <c r="I43" i="4"/>
  <c r="H44" i="4"/>
  <c r="J44" i="4"/>
  <c r="F78" i="4"/>
  <c r="J79" i="4"/>
  <c r="J43" i="4"/>
  <c r="K42" i="4"/>
  <c r="F42" i="4"/>
  <c r="F77" i="4"/>
  <c r="K41" i="4"/>
  <c r="F41" i="4"/>
  <c r="H41" i="4"/>
  <c r="K40" i="4"/>
  <c r="F40" i="4"/>
  <c r="K39" i="4"/>
  <c r="F39" i="4"/>
  <c r="H39" i="4"/>
  <c r="K38" i="4"/>
  <c r="F38" i="4"/>
  <c r="K37" i="4"/>
  <c r="F37" i="4"/>
  <c r="D37" i="4"/>
  <c r="I37" i="4"/>
  <c r="K36" i="4"/>
  <c r="F36" i="4"/>
  <c r="F74" i="4"/>
  <c r="H74" i="4"/>
  <c r="K35" i="4"/>
  <c r="F35" i="4"/>
  <c r="H35" i="4"/>
  <c r="K34" i="4"/>
  <c r="F34" i="4"/>
  <c r="H34" i="4"/>
  <c r="K33" i="4"/>
  <c r="J33" i="4"/>
  <c r="H33" i="4"/>
  <c r="D33" i="4"/>
  <c r="I33" i="4"/>
  <c r="K32" i="4"/>
  <c r="J32" i="4"/>
  <c r="H32" i="4"/>
  <c r="D32" i="4"/>
  <c r="I32" i="4"/>
  <c r="K31" i="4"/>
  <c r="H31" i="4"/>
  <c r="D31" i="4"/>
  <c r="I31" i="4"/>
  <c r="K30" i="4"/>
  <c r="J30" i="4"/>
  <c r="H30" i="4"/>
  <c r="D30" i="4"/>
  <c r="I30" i="4"/>
  <c r="K29" i="4"/>
  <c r="J29" i="4"/>
  <c r="H29" i="4"/>
  <c r="D29" i="4"/>
  <c r="I29" i="4"/>
  <c r="K28" i="4"/>
  <c r="J28" i="4"/>
  <c r="H28" i="4"/>
  <c r="D28" i="4"/>
  <c r="I28" i="4"/>
  <c r="K27" i="4"/>
  <c r="J27" i="4"/>
  <c r="H27" i="4"/>
  <c r="D27" i="4"/>
  <c r="I27" i="4"/>
  <c r="K26" i="4"/>
  <c r="J26" i="4"/>
  <c r="D26" i="4"/>
  <c r="I26" i="4"/>
  <c r="K25" i="4"/>
  <c r="J25" i="4"/>
  <c r="H25" i="4"/>
  <c r="D25" i="4"/>
  <c r="I25" i="4"/>
  <c r="K24" i="4"/>
  <c r="J24" i="4"/>
  <c r="H24" i="4"/>
  <c r="D24" i="4"/>
  <c r="I24" i="4"/>
  <c r="K23" i="4"/>
  <c r="J23" i="4"/>
  <c r="H23" i="4"/>
  <c r="D23" i="4"/>
  <c r="I23" i="4"/>
  <c r="K22" i="4"/>
  <c r="J22" i="4"/>
  <c r="H22" i="4"/>
  <c r="D22" i="4"/>
  <c r="I22" i="4"/>
  <c r="K21" i="4"/>
  <c r="J21" i="4"/>
  <c r="H21" i="4"/>
  <c r="D21" i="4"/>
  <c r="I21" i="4"/>
  <c r="K20" i="4"/>
  <c r="J20" i="4"/>
  <c r="H20" i="4"/>
  <c r="D20" i="4"/>
  <c r="I20" i="4"/>
  <c r="J19" i="4"/>
  <c r="H19" i="4"/>
  <c r="D19" i="4"/>
  <c r="J18" i="4"/>
  <c r="H18" i="4"/>
  <c r="D18" i="4"/>
  <c r="I18" i="4"/>
  <c r="J17" i="4"/>
  <c r="D17" i="4"/>
  <c r="I17" i="4"/>
  <c r="J16" i="4"/>
  <c r="H16" i="4"/>
  <c r="D16" i="4"/>
  <c r="I16" i="4"/>
  <c r="J15" i="4"/>
  <c r="H15" i="4"/>
  <c r="D15" i="4"/>
  <c r="I15" i="4"/>
  <c r="J14" i="4"/>
  <c r="H14" i="4"/>
  <c r="D14" i="4"/>
  <c r="I14" i="4"/>
  <c r="J13" i="4"/>
  <c r="H13" i="4"/>
  <c r="D13" i="4"/>
  <c r="I13" i="4"/>
  <c r="J12" i="4"/>
  <c r="H12" i="4"/>
  <c r="D12" i="4"/>
  <c r="I12" i="4"/>
  <c r="D11" i="4"/>
  <c r="F11" i="4"/>
  <c r="D10" i="4"/>
  <c r="D9" i="4"/>
  <c r="F9" i="4"/>
  <c r="F8" i="4"/>
  <c r="H8" i="4"/>
  <c r="D7" i="4"/>
  <c r="F7" i="4"/>
  <c r="D6" i="4"/>
  <c r="F6" i="4"/>
  <c r="J78" i="4"/>
  <c r="H78" i="4"/>
  <c r="D78" i="4"/>
  <c r="I78" i="4"/>
  <c r="J36" i="4"/>
  <c r="H38" i="4"/>
  <c r="F75" i="4"/>
  <c r="H40" i="4"/>
  <c r="F76" i="4"/>
  <c r="H42" i="4"/>
  <c r="D41" i="4"/>
  <c r="I41" i="4"/>
  <c r="D35" i="4"/>
  <c r="I35" i="4"/>
  <c r="D39" i="4"/>
  <c r="I39" i="4"/>
  <c r="D46" i="4"/>
  <c r="J41" i="4"/>
  <c r="J46" i="4"/>
  <c r="J35" i="4"/>
  <c r="J38" i="4"/>
  <c r="D36" i="4"/>
  <c r="I36" i="4"/>
  <c r="I8" i="4"/>
  <c r="J8" i="4"/>
  <c r="J39" i="4"/>
  <c r="J37" i="4"/>
  <c r="D42" i="4"/>
  <c r="J34" i="4"/>
  <c r="H37" i="4"/>
  <c r="D40" i="4"/>
  <c r="I40" i="4"/>
  <c r="J7" i="4"/>
  <c r="I7" i="4"/>
  <c r="H7" i="4"/>
  <c r="J9" i="4"/>
  <c r="I9" i="4"/>
  <c r="H9" i="4"/>
  <c r="I6" i="4"/>
  <c r="H6" i="4"/>
  <c r="J6" i="4"/>
  <c r="J11" i="4"/>
  <c r="H11" i="4"/>
  <c r="I11" i="4"/>
  <c r="J45" i="4"/>
  <c r="F10" i="4"/>
  <c r="I10" i="4"/>
  <c r="H36" i="4"/>
  <c r="D34" i="4"/>
  <c r="I34" i="4"/>
  <c r="D38" i="4"/>
  <c r="I38" i="4"/>
  <c r="D45" i="4"/>
  <c r="I46" i="4"/>
  <c r="D79" i="4"/>
  <c r="I79" i="4"/>
  <c r="H77" i="4"/>
  <c r="J77" i="4"/>
  <c r="D77" i="4"/>
  <c r="D75" i="4"/>
  <c r="I75" i="4"/>
  <c r="H75" i="4"/>
  <c r="J75" i="4"/>
  <c r="J76" i="4"/>
  <c r="D76" i="4"/>
  <c r="I76" i="4"/>
  <c r="H76" i="4"/>
  <c r="D74" i="4"/>
  <c r="I74" i="4"/>
  <c r="J74" i="4"/>
  <c r="J10" i="4"/>
  <c r="H10" i="4"/>
</calcChain>
</file>

<file path=xl/comments1.xml><?xml version="1.0" encoding="utf-8"?>
<comments xmlns="http://schemas.openxmlformats.org/spreadsheetml/2006/main">
  <authors>
    <author>!Station0</author>
    <author>Dobbe, Nadine K [I RES]</author>
  </authors>
  <commentList>
    <comment ref="H14" authorId="0" shapeId="0">
      <text>
        <r>
          <rPr>
            <sz val="8"/>
            <color indexed="81"/>
            <rFont val="Tahoma"/>
            <family val="2"/>
          </rPr>
          <t>This percent formula has been rounded down from 60.51 to allow the three percents to add to 100
nkd 12/6/05</t>
        </r>
      </text>
    </comment>
    <comment ref="H17" authorId="0" shapeId="0">
      <text>
        <r>
          <rPr>
            <sz val="8"/>
            <color indexed="81"/>
            <rFont val="Tahoma"/>
            <family val="2"/>
          </rPr>
          <t>This percent has been rounded up to 59% (from 58.3%) to allow the three percents to add to 100
nkd 12/7/06</t>
        </r>
      </text>
    </comment>
    <comment ref="I19" authorId="0" shapeId="0">
      <text>
        <r>
          <rPr>
            <sz val="8"/>
            <color indexed="81"/>
            <rFont val="Tahoma"/>
            <family val="2"/>
          </rPr>
          <t>This percent has been rounded down to 279% (from 27.5%) to allow the three percents to add to 100
nkd 11/8/07</t>
        </r>
      </text>
    </comment>
    <comment ref="H26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FORCE 62.5 back to 62 so that total will equal 100%
</t>
        </r>
      </text>
    </comment>
    <comment ref="F34" authorId="1" shapeId="0">
      <text>
        <r>
          <rPr>
            <sz val="8"/>
            <color indexed="81"/>
            <rFont val="Tahoma"/>
            <family val="2"/>
          </rPr>
          <t>NKD--beginning in Fall 2014 total is calculated by subtracting (from the total) SCH taught by non-faculty groups such as P&amp;S, AB Other, and Other instructor types to arrive at a new "total" that is consistent with earlier reports which separated these groups out in the report.
Grad Assistants are the only non-faculty category retained in the total count.
Data beginning in Fall 2014 is from eData.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35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0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manually adjusted to add to 100%
</t>
        </r>
      </text>
    </comment>
    <comment ref="I42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manually adjusted to add to 100%</t>
        </r>
      </text>
    </comment>
    <comment ref="I45" authorId="1" shapeId="0">
      <text>
        <r>
          <rPr>
            <sz val="9"/>
            <color indexed="81"/>
            <rFont val="Tahoma"/>
            <family val="2"/>
          </rPr>
          <t xml:space="preserve">manually adjusted to make total add up to 100%
</t>
        </r>
      </text>
    </comment>
    <comment ref="H46" authorId="1" shapeId="0">
      <text>
        <r>
          <rPr>
            <sz val="9"/>
            <color indexed="81"/>
            <rFont val="Tahoma"/>
            <family val="2"/>
          </rPr>
          <t xml:space="preserve">manually adjusted to make total add up to 100%
</t>
        </r>
      </text>
    </comment>
    <comment ref="H48" authorId="1" shapeId="0">
      <text>
        <r>
          <rPr>
            <sz val="9"/>
            <color indexed="81"/>
            <rFont val="Tahoma"/>
            <family val="2"/>
          </rPr>
          <t xml:space="preserve">manually adjusted to make total add up to 100%
</t>
        </r>
      </text>
    </comment>
    <comment ref="I77" authorId="1" shapeId="0">
      <text>
        <r>
          <rPr>
            <sz val="9"/>
            <color indexed="81"/>
            <rFont val="Tahoma"/>
            <family val="2"/>
          </rPr>
          <t>manually adjusted to make total add up to 100%</t>
        </r>
      </text>
    </comment>
  </commentList>
</comments>
</file>

<file path=xl/sharedStrings.xml><?xml version="1.0" encoding="utf-8"?>
<sst xmlns="http://schemas.openxmlformats.org/spreadsheetml/2006/main" count="106" uniqueCount="73">
  <si>
    <t xml:space="preserve"> </t>
  </si>
  <si>
    <t>SCH</t>
  </si>
  <si>
    <t>Percent</t>
  </si>
  <si>
    <t>Total</t>
  </si>
  <si>
    <t>Teaching Assistants</t>
  </si>
  <si>
    <t>SPRING 
2001</t>
  </si>
  <si>
    <t>FALL 
2000</t>
  </si>
  <si>
    <t>FALL 
2001</t>
  </si>
  <si>
    <t>SPRING 
2002</t>
  </si>
  <si>
    <t>FALL 
2002</t>
  </si>
  <si>
    <t>SPRING 
2003</t>
  </si>
  <si>
    <t>FALL 
2003</t>
  </si>
  <si>
    <t>SPRING 
2004</t>
  </si>
  <si>
    <t>FALL 
2004</t>
  </si>
  <si>
    <t>SPRING 
2005</t>
  </si>
  <si>
    <t>FALL 
2005</t>
  </si>
  <si>
    <t>SPRING 
2006</t>
  </si>
  <si>
    <t>FALL 
2006</t>
  </si>
  <si>
    <t>SPRING 
2007</t>
  </si>
  <si>
    <t>FALL 
2007</t>
  </si>
  <si>
    <t>SPRING 
2008</t>
  </si>
  <si>
    <t>FALL 
2008</t>
  </si>
  <si>
    <t>SPRING 
2009</t>
  </si>
  <si>
    <t>FALL
2013</t>
  </si>
  <si>
    <t>SPRING
2014</t>
  </si>
  <si>
    <t>FALL
2014</t>
  </si>
  <si>
    <t>Term Faculty</t>
  </si>
  <si>
    <t>Tenured &amp; Tenure Eligible Faculty</t>
  </si>
  <si>
    <t>FALL
2009</t>
  </si>
  <si>
    <t>SPRING
2010</t>
  </si>
  <si>
    <t>FALL
2010</t>
  </si>
  <si>
    <t>SPRING
2011</t>
  </si>
  <si>
    <t>FALL
2011</t>
  </si>
  <si>
    <t>SPRING
2012</t>
  </si>
  <si>
    <t>FALL
2012</t>
  </si>
  <si>
    <t>SPRING
2013</t>
  </si>
  <si>
    <t>Office of Institutional Research (Data Source: e-Data Warehouse)</t>
  </si>
  <si>
    <r>
      <rPr>
        <sz val="12"/>
        <rFont val="ITC Berkeley Oldstyle Std"/>
        <family val="1"/>
      </rPr>
      <t xml:space="preserve">  </t>
    </r>
    <r>
      <rPr>
        <sz val="10"/>
        <rFont val="ITC Berkeley Oldstyle Std"/>
        <family val="1"/>
      </rPr>
      <t xml:space="preserve">SCH data represent all SCH taught by faculty and teaching assistants.  </t>
    </r>
  </si>
  <si>
    <r>
      <rPr>
        <vertAlign val="superscript"/>
        <sz val="10"/>
        <rFont val="ITC Berkeley Oldstyle Std"/>
        <family val="1"/>
      </rPr>
      <t>2</t>
    </r>
    <r>
      <rPr>
        <sz val="10"/>
        <rFont val="ITC Berkeley Oldstyle Std"/>
        <family val="1"/>
      </rPr>
      <t xml:space="preserve"> All SCH are assigned to departments and colleges using course splits designated by teaching departments.</t>
    </r>
  </si>
  <si>
    <r>
      <t>Student Credit Hours (SCH)</t>
    </r>
    <r>
      <rPr>
        <vertAlign val="superscript"/>
        <sz val="12"/>
        <rFont val="Univers 55"/>
        <family val="2"/>
      </rPr>
      <t>1,2</t>
    </r>
    <r>
      <rPr>
        <b/>
        <vertAlign val="superscript"/>
        <sz val="12"/>
        <rFont val="Univers 55"/>
        <family val="2"/>
      </rPr>
      <t xml:space="preserve"> </t>
    </r>
    <r>
      <rPr>
        <b/>
        <sz val="14"/>
        <rFont val="Univers 55"/>
        <family val="2"/>
      </rPr>
      <t>Taught by Faculty and Teaching Assistants</t>
    </r>
  </si>
  <si>
    <t>Fall and Spring Data</t>
  </si>
  <si>
    <t>Summer Data</t>
  </si>
  <si>
    <t>Summer Term</t>
  </si>
  <si>
    <t>2015-2016</t>
  </si>
  <si>
    <t>2016-2017</t>
  </si>
  <si>
    <t>2017-2018</t>
  </si>
  <si>
    <t>2018-2019</t>
  </si>
  <si>
    <t>2019-2020</t>
  </si>
  <si>
    <t>2020-2021</t>
  </si>
  <si>
    <t>Academic Year</t>
  </si>
  <si>
    <t>Academic Year Summary</t>
  </si>
  <si>
    <t>SPRING</t>
  </si>
  <si>
    <t>FALL</t>
  </si>
  <si>
    <t>Fall Semesters</t>
  </si>
  <si>
    <t>Spring Semesters</t>
  </si>
  <si>
    <t>SPRING 2015</t>
  </si>
  <si>
    <t>FALL 2015</t>
  </si>
  <si>
    <t>SPRING 2016</t>
  </si>
  <si>
    <t>FALL 2016</t>
  </si>
  <si>
    <t>SPRING 2017</t>
  </si>
  <si>
    <t>FALL 2017</t>
  </si>
  <si>
    <t>SPRING 2018</t>
  </si>
  <si>
    <t>FALL 2018</t>
  </si>
  <si>
    <t>SPRING 2019</t>
  </si>
  <si>
    <t>FALL 2019</t>
  </si>
  <si>
    <t>SPRING 2020</t>
  </si>
  <si>
    <t>FALL 2020</t>
  </si>
  <si>
    <t>SPRING 2021</t>
  </si>
  <si>
    <t>(Includes Summer, Fall, and Spring Semesters)</t>
  </si>
  <si>
    <r>
      <rPr>
        <vertAlign val="superscript"/>
        <sz val="10"/>
        <rFont val="Univers 55"/>
      </rPr>
      <t xml:space="preserve">1 </t>
    </r>
    <r>
      <rPr>
        <sz val="10"/>
        <rFont val="ITC Berkeley Oldstyle Std"/>
        <family val="1"/>
      </rPr>
      <t>Student credit hours (SCH) are calculated by multiplying course credit by the number of students enrolled in the course.</t>
    </r>
  </si>
  <si>
    <t>FALL 2021</t>
  </si>
  <si>
    <t>Last Updated: 11/1/2021</t>
  </si>
  <si>
    <r>
      <rPr>
        <b/>
        <sz val="12"/>
        <rFont val="Univers 55"/>
      </rPr>
      <t>Academic Year Data</t>
    </r>
    <r>
      <rPr>
        <i/>
        <sz val="12"/>
        <rFont val="Univers 55"/>
      </rPr>
      <t xml:space="preserve"> (includes Summer, Fall, Spring Terms)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</si>
</sst>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??,??0"/>
  </numFmts>
  <fonts count="39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sz val="8"/>
      <name val="Univers 75 Black"/>
    </font>
    <font>
      <b/>
      <sz val="14"/>
      <name val="Univers 55"/>
      <family val="2"/>
    </font>
    <font>
      <b/>
      <vertAlign val="superscript"/>
      <sz val="12"/>
      <name val="Univers 55"/>
      <family val="2"/>
    </font>
    <font>
      <i/>
      <sz val="10"/>
      <name val="Berkeley"/>
      <family val="1"/>
    </font>
    <font>
      <vertAlign val="superscript"/>
      <sz val="12"/>
      <name val="Univers 55"/>
      <family val="2"/>
    </font>
    <font>
      <sz val="9"/>
      <name val="Univers 55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Univers 45 Light"/>
      <family val="2"/>
    </font>
    <font>
      <b/>
      <sz val="9"/>
      <name val="Univers 45 Light"/>
      <family val="2"/>
    </font>
    <font>
      <sz val="9"/>
      <color theme="1"/>
      <name val="Univers 55"/>
      <family val="2"/>
    </font>
    <font>
      <b/>
      <vertAlign val="superscript"/>
      <sz val="11"/>
      <name val="ITC Berkeley Oldstyle Std"/>
      <family val="1"/>
    </font>
    <font>
      <sz val="10"/>
      <name val="ITC Berkeley Oldstyle Std"/>
      <family val="1"/>
    </font>
    <font>
      <b/>
      <sz val="9"/>
      <name val="ITC Berkeley Oldstyle Std"/>
      <family val="1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12"/>
      <name val="ITC Berkeley Oldstyle Std"/>
      <family val="1"/>
    </font>
    <font>
      <b/>
      <sz val="8"/>
      <name val="ITC Berkeley Oldstyle Std"/>
      <family val="1"/>
    </font>
    <font>
      <vertAlign val="superscript"/>
      <sz val="10"/>
      <name val="Univers 55"/>
    </font>
    <font>
      <sz val="9"/>
      <name val="Univers 55"/>
    </font>
    <font>
      <b/>
      <sz val="9"/>
      <name val="Univers 55"/>
    </font>
    <font>
      <b/>
      <sz val="9"/>
      <color theme="0"/>
      <name val="Univers 55"/>
    </font>
    <font>
      <vertAlign val="superscript"/>
      <sz val="10"/>
      <name val="ITC Berkeley Oldstyle Std"/>
      <family val="1"/>
    </font>
    <font>
      <sz val="10"/>
      <name val="Univers 55"/>
    </font>
    <font>
      <sz val="12"/>
      <name val="Univers 55"/>
    </font>
    <font>
      <b/>
      <sz val="12"/>
      <name val="Univers 55"/>
    </font>
    <font>
      <i/>
      <sz val="12"/>
      <name val="Univers 55"/>
    </font>
    <font>
      <sz val="9"/>
      <color rgb="FFFF0000"/>
      <name val="Univers 55"/>
    </font>
    <font>
      <b/>
      <sz val="12"/>
      <name val="Univers LT Std 45 Light"/>
      <family val="2"/>
    </font>
    <font>
      <b/>
      <sz val="9"/>
      <color theme="0" tint="-4.9989318521683403E-2"/>
      <name val="Univers LT Std 45 Light"/>
      <family val="2"/>
    </font>
    <font>
      <i/>
      <sz val="7"/>
      <name val="Univers 55"/>
    </font>
    <font>
      <b/>
      <sz val="9"/>
      <color theme="1"/>
      <name val="Univers 55"/>
    </font>
    <font>
      <sz val="9"/>
      <color theme="1"/>
      <name val="Univers 55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76D54"/>
        <bgColor indexed="64"/>
      </patternFill>
    </fill>
    <fill>
      <patternFill patternType="solid">
        <fgColor rgb="FFCE1126"/>
        <bgColor indexed="64"/>
      </patternFill>
    </fill>
    <fill>
      <patternFill patternType="solid">
        <fgColor rgb="FFF2BF4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29" fillId="0" borderId="0" applyFont="0" applyFill="0" applyBorder="0" applyAlignment="0" applyProtection="0"/>
  </cellStyleXfs>
  <cellXfs count="354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0" applyFont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horizontal="right" wrapText="1"/>
    </xf>
    <xf numFmtId="0" fontId="8" fillId="0" borderId="0" xfId="0" applyFont="1" applyBorder="1" applyAlignment="1">
      <alignment vertical="center"/>
    </xf>
    <xf numFmtId="0" fontId="21" fillId="0" borderId="0" xfId="0" applyFont="1" applyBorder="1" applyAlignment="1"/>
    <xf numFmtId="0" fontId="23" fillId="0" borderId="0" xfId="0" applyFont="1" applyBorder="1" applyAlignment="1"/>
    <xf numFmtId="3" fontId="10" fillId="8" borderId="8" xfId="0" applyNumberFormat="1" applyFont="1" applyFill="1" applyBorder="1" applyAlignment="1">
      <alignment vertical="center"/>
    </xf>
    <xf numFmtId="3" fontId="10" fillId="8" borderId="0" xfId="0" applyNumberFormat="1" applyFont="1" applyFill="1" applyBorder="1" applyAlignment="1">
      <alignment vertical="center"/>
    </xf>
    <xf numFmtId="3" fontId="10" fillId="8" borderId="9" xfId="0" applyNumberFormat="1" applyFont="1" applyFill="1" applyBorder="1" applyAlignment="1">
      <alignment vertical="center"/>
    </xf>
    <xf numFmtId="3" fontId="10" fillId="9" borderId="8" xfId="0" applyNumberFormat="1" applyFont="1" applyFill="1" applyBorder="1" applyAlignment="1">
      <alignment vertical="center"/>
    </xf>
    <xf numFmtId="3" fontId="10" fillId="9" borderId="0" xfId="0" applyNumberFormat="1" applyFont="1" applyFill="1" applyBorder="1" applyAlignment="1">
      <alignment vertical="center"/>
    </xf>
    <xf numFmtId="3" fontId="10" fillId="9" borderId="9" xfId="0" applyNumberFormat="1" applyFont="1" applyFill="1" applyBorder="1" applyAlignment="1">
      <alignment vertical="center"/>
    </xf>
    <xf numFmtId="3" fontId="10" fillId="10" borderId="8" xfId="0" applyNumberFormat="1" applyFont="1" applyFill="1" applyBorder="1" applyAlignment="1">
      <alignment vertical="center"/>
    </xf>
    <xf numFmtId="3" fontId="10" fillId="10" borderId="0" xfId="0" applyNumberFormat="1" applyFont="1" applyFill="1" applyBorder="1" applyAlignment="1">
      <alignment vertical="center"/>
    </xf>
    <xf numFmtId="3" fontId="10" fillId="10" borderId="9" xfId="0" applyNumberFormat="1" applyFont="1" applyFill="1" applyBorder="1" applyAlignment="1">
      <alignment vertical="center"/>
    </xf>
    <xf numFmtId="3" fontId="10" fillId="11" borderId="8" xfId="0" applyNumberFormat="1" applyFont="1" applyFill="1" applyBorder="1" applyAlignment="1">
      <alignment vertical="center"/>
    </xf>
    <xf numFmtId="3" fontId="10" fillId="11" borderId="0" xfId="0" applyNumberFormat="1" applyFont="1" applyFill="1" applyBorder="1" applyAlignment="1">
      <alignment vertical="center"/>
    </xf>
    <xf numFmtId="3" fontId="10" fillId="11" borderId="9" xfId="0" applyNumberFormat="1" applyFont="1" applyFill="1" applyBorder="1" applyAlignment="1">
      <alignment vertical="center"/>
    </xf>
    <xf numFmtId="3" fontId="10" fillId="12" borderId="8" xfId="0" applyNumberFormat="1" applyFont="1" applyFill="1" applyBorder="1" applyAlignment="1">
      <alignment vertical="center"/>
    </xf>
    <xf numFmtId="3" fontId="10" fillId="12" borderId="0" xfId="0" applyNumberFormat="1" applyFont="1" applyFill="1" applyBorder="1" applyAlignment="1">
      <alignment vertical="center"/>
    </xf>
    <xf numFmtId="3" fontId="10" fillId="12" borderId="9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9" fontId="10" fillId="0" borderId="3" xfId="0" applyNumberFormat="1" applyFont="1" applyBorder="1" applyAlignment="1">
      <alignment vertical="center"/>
    </xf>
    <xf numFmtId="9" fontId="10" fillId="0" borderId="4" xfId="0" applyNumberFormat="1" applyFont="1" applyBorder="1" applyAlignment="1">
      <alignment vertical="center"/>
    </xf>
    <xf numFmtId="9" fontId="10" fillId="0" borderId="5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3" fontId="10" fillId="0" borderId="6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9" fontId="10" fillId="0" borderId="6" xfId="0" applyNumberFormat="1" applyFont="1" applyBorder="1" applyAlignment="1">
      <alignment vertical="center"/>
    </xf>
    <xf numFmtId="9" fontId="10" fillId="0" borderId="1" xfId="0" applyNumberFormat="1" applyFont="1" applyBorder="1" applyAlignment="1">
      <alignment vertical="center"/>
    </xf>
    <xf numFmtId="9" fontId="10" fillId="0" borderId="7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2" borderId="14" xfId="0" applyFont="1" applyFill="1" applyBorder="1" applyAlignment="1">
      <alignment horizontal="left" vertical="center" wrapText="1"/>
    </xf>
    <xf numFmtId="3" fontId="10" fillId="2" borderId="6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9" fontId="10" fillId="2" borderId="6" xfId="0" applyNumberFormat="1" applyFont="1" applyFill="1" applyBorder="1" applyAlignment="1">
      <alignment vertical="center"/>
    </xf>
    <xf numFmtId="9" fontId="10" fillId="2" borderId="1" xfId="0" applyNumberFormat="1" applyFont="1" applyFill="1" applyBorder="1" applyAlignment="1">
      <alignment vertical="center"/>
    </xf>
    <xf numFmtId="9" fontId="10" fillId="2" borderId="7" xfId="0" applyNumberFormat="1" applyFont="1" applyFill="1" applyBorder="1" applyAlignment="1">
      <alignment vertical="center"/>
    </xf>
    <xf numFmtId="0" fontId="15" fillId="3" borderId="14" xfId="0" applyFont="1" applyFill="1" applyBorder="1" applyAlignment="1">
      <alignment horizontal="left" vertical="center" wrapText="1"/>
    </xf>
    <xf numFmtId="3" fontId="10" fillId="3" borderId="6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3" fontId="10" fillId="3" borderId="7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9" fontId="10" fillId="3" borderId="6" xfId="0" applyNumberFormat="1" applyFont="1" applyFill="1" applyBorder="1" applyAlignment="1">
      <alignment vertical="center"/>
    </xf>
    <xf numFmtId="9" fontId="10" fillId="3" borderId="1" xfId="0" applyNumberFormat="1" applyFont="1" applyFill="1" applyBorder="1" applyAlignment="1">
      <alignment vertical="center"/>
    </xf>
    <xf numFmtId="9" fontId="10" fillId="3" borderId="7" xfId="0" applyNumberFormat="1" applyFont="1" applyFill="1" applyBorder="1" applyAlignment="1">
      <alignment vertical="center"/>
    </xf>
    <xf numFmtId="0" fontId="15" fillId="5" borderId="14" xfId="0" applyFont="1" applyFill="1" applyBorder="1" applyAlignment="1">
      <alignment horizontal="left" vertical="center" wrapText="1"/>
    </xf>
    <xf numFmtId="3" fontId="10" fillId="5" borderId="6" xfId="0" applyNumberFormat="1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vertical="center"/>
    </xf>
    <xf numFmtId="3" fontId="10" fillId="5" borderId="7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9" fontId="10" fillId="5" borderId="6" xfId="0" applyNumberFormat="1" applyFont="1" applyFill="1" applyBorder="1" applyAlignment="1">
      <alignment vertical="center"/>
    </xf>
    <xf numFmtId="9" fontId="10" fillId="5" borderId="1" xfId="0" applyNumberFormat="1" applyFont="1" applyFill="1" applyBorder="1" applyAlignment="1">
      <alignment vertical="center"/>
    </xf>
    <xf numFmtId="9" fontId="10" fillId="5" borderId="7" xfId="0" applyNumberFormat="1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 wrapText="1"/>
    </xf>
    <xf numFmtId="3" fontId="10" fillId="4" borderId="6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4" borderId="7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9" fontId="10" fillId="4" borderId="6" xfId="0" applyNumberFormat="1" applyFont="1" applyFill="1" applyBorder="1" applyAlignment="1">
      <alignment vertical="center"/>
    </xf>
    <xf numFmtId="9" fontId="10" fillId="4" borderId="1" xfId="0" applyNumberFormat="1" applyFont="1" applyFill="1" applyBorder="1" applyAlignment="1">
      <alignment vertical="center"/>
    </xf>
    <xf numFmtId="9" fontId="10" fillId="4" borderId="7" xfId="0" applyNumberFormat="1" applyFont="1" applyFill="1" applyBorder="1" applyAlignment="1">
      <alignment vertical="center"/>
    </xf>
    <xf numFmtId="0" fontId="15" fillId="3" borderId="15" xfId="0" applyFont="1" applyFill="1" applyBorder="1" applyAlignment="1">
      <alignment horizontal="left" vertical="center" wrapText="1"/>
    </xf>
    <xf numFmtId="3" fontId="10" fillId="3" borderId="8" xfId="0" applyNumberFormat="1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3" fontId="10" fillId="3" borderId="9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9" fontId="10" fillId="3" borderId="8" xfId="0" applyNumberFormat="1" applyFont="1" applyFill="1" applyBorder="1" applyAlignment="1">
      <alignment vertical="center"/>
    </xf>
    <xf numFmtId="9" fontId="10" fillId="3" borderId="0" xfId="0" applyNumberFormat="1" applyFont="1" applyFill="1" applyBorder="1" applyAlignment="1">
      <alignment vertical="center"/>
    </xf>
    <xf numFmtId="9" fontId="10" fillId="3" borderId="9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3" fontId="10" fillId="7" borderId="0" xfId="0" applyNumberFormat="1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9" fontId="10" fillId="7" borderId="0" xfId="0" applyNumberFormat="1" applyFont="1" applyFill="1" applyBorder="1" applyAlignment="1">
      <alignment vertical="center"/>
    </xf>
    <xf numFmtId="9" fontId="10" fillId="8" borderId="0" xfId="0" applyNumberFormat="1" applyFont="1" applyFill="1" applyBorder="1" applyAlignment="1">
      <alignment vertical="center"/>
    </xf>
    <xf numFmtId="9" fontId="10" fillId="9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10" fillId="8" borderId="0" xfId="0" applyFont="1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0" fontId="10" fillId="10" borderId="0" xfId="0" applyFont="1" applyFill="1" applyBorder="1" applyAlignment="1">
      <alignment vertical="center"/>
    </xf>
    <xf numFmtId="9" fontId="10" fillId="10" borderId="0" xfId="0" applyNumberFormat="1" applyFont="1" applyFill="1" applyBorder="1" applyAlignment="1">
      <alignment vertical="center"/>
    </xf>
    <xf numFmtId="0" fontId="10" fillId="11" borderId="0" xfId="0" applyFont="1" applyFill="1" applyBorder="1" applyAlignment="1">
      <alignment vertical="center"/>
    </xf>
    <xf numFmtId="9" fontId="10" fillId="11" borderId="0" xfId="0" applyNumberFormat="1" applyFont="1" applyFill="1" applyBorder="1" applyAlignment="1">
      <alignment vertical="center"/>
    </xf>
    <xf numFmtId="0" fontId="10" fillId="12" borderId="0" xfId="0" applyFont="1" applyFill="1" applyBorder="1" applyAlignment="1">
      <alignment vertical="center"/>
    </xf>
    <xf numFmtId="9" fontId="10" fillId="12" borderId="0" xfId="0" applyNumberFormat="1" applyFont="1" applyFill="1" applyBorder="1" applyAlignment="1">
      <alignment vertical="center"/>
    </xf>
    <xf numFmtId="0" fontId="10" fillId="14" borderId="0" xfId="0" applyFont="1" applyFill="1" applyBorder="1" applyAlignment="1">
      <alignment vertical="center"/>
    </xf>
    <xf numFmtId="0" fontId="15" fillId="14" borderId="14" xfId="0" applyFont="1" applyFill="1" applyBorder="1" applyAlignment="1">
      <alignment horizontal="left" vertical="center" wrapText="1"/>
    </xf>
    <xf numFmtId="3" fontId="10" fillId="14" borderId="6" xfId="0" applyNumberFormat="1" applyFont="1" applyFill="1" applyBorder="1" applyAlignment="1">
      <alignment vertical="center"/>
    </xf>
    <xf numFmtId="3" fontId="10" fillId="14" borderId="1" xfId="0" applyNumberFormat="1" applyFont="1" applyFill="1" applyBorder="1" applyAlignment="1">
      <alignment vertical="center"/>
    </xf>
    <xf numFmtId="3" fontId="10" fillId="14" borderId="7" xfId="0" applyNumberFormat="1" applyFont="1" applyFill="1" applyBorder="1" applyAlignment="1">
      <alignment vertical="center"/>
    </xf>
    <xf numFmtId="9" fontId="10" fillId="14" borderId="6" xfId="0" applyNumberFormat="1" applyFont="1" applyFill="1" applyBorder="1" applyAlignment="1">
      <alignment vertical="center"/>
    </xf>
    <xf numFmtId="9" fontId="10" fillId="14" borderId="1" xfId="0" applyNumberFormat="1" applyFont="1" applyFill="1" applyBorder="1" applyAlignment="1">
      <alignment vertical="center"/>
    </xf>
    <xf numFmtId="9" fontId="10" fillId="14" borderId="7" xfId="0" applyNumberFormat="1" applyFont="1" applyFill="1" applyBorder="1" applyAlignment="1">
      <alignment vertical="center"/>
    </xf>
    <xf numFmtId="0" fontId="15" fillId="0" borderId="16" xfId="0" applyFont="1" applyBorder="1" applyAlignment="1">
      <alignment horizontal="left" vertical="center" wrapText="1"/>
    </xf>
    <xf numFmtId="3" fontId="10" fillId="0" borderId="17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9" fontId="10" fillId="0" borderId="17" xfId="0" applyNumberFormat="1" applyFont="1" applyBorder="1" applyAlignment="1">
      <alignment vertical="center"/>
    </xf>
    <xf numFmtId="9" fontId="10" fillId="0" borderId="18" xfId="0" applyNumberFormat="1" applyFont="1" applyBorder="1" applyAlignment="1">
      <alignment vertical="center"/>
    </xf>
    <xf numFmtId="9" fontId="10" fillId="0" borderId="19" xfId="0" applyNumberFormat="1" applyFont="1" applyBorder="1" applyAlignment="1">
      <alignment vertical="center"/>
    </xf>
    <xf numFmtId="0" fontId="15" fillId="2" borderId="16" xfId="0" applyFont="1" applyFill="1" applyBorder="1" applyAlignment="1">
      <alignment horizontal="left" vertical="center" wrapText="1"/>
    </xf>
    <xf numFmtId="3" fontId="10" fillId="2" borderId="17" xfId="0" applyNumberFormat="1" applyFont="1" applyFill="1" applyBorder="1" applyAlignment="1">
      <alignment vertical="center"/>
    </xf>
    <xf numFmtId="3" fontId="10" fillId="2" borderId="18" xfId="0" applyNumberFormat="1" applyFont="1" applyFill="1" applyBorder="1" applyAlignment="1">
      <alignment vertical="center"/>
    </xf>
    <xf numFmtId="3" fontId="10" fillId="2" borderId="19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9" fontId="10" fillId="2" borderId="17" xfId="0" applyNumberFormat="1" applyFont="1" applyFill="1" applyBorder="1" applyAlignment="1">
      <alignment vertical="center"/>
    </xf>
    <xf numFmtId="9" fontId="10" fillId="2" borderId="18" xfId="0" applyNumberFormat="1" applyFont="1" applyFill="1" applyBorder="1" applyAlignment="1">
      <alignment vertical="center"/>
    </xf>
    <xf numFmtId="9" fontId="10" fillId="2" borderId="19" xfId="0" applyNumberFormat="1" applyFont="1" applyFill="1" applyBorder="1" applyAlignment="1">
      <alignment vertical="center"/>
    </xf>
    <xf numFmtId="0" fontId="15" fillId="3" borderId="16" xfId="0" applyFont="1" applyFill="1" applyBorder="1" applyAlignment="1">
      <alignment horizontal="left" vertical="center" wrapText="1"/>
    </xf>
    <xf numFmtId="3" fontId="10" fillId="3" borderId="17" xfId="0" applyNumberFormat="1" applyFont="1" applyFill="1" applyBorder="1" applyAlignment="1">
      <alignment vertical="center"/>
    </xf>
    <xf numFmtId="3" fontId="10" fillId="3" borderId="18" xfId="0" applyNumberFormat="1" applyFont="1" applyFill="1" applyBorder="1" applyAlignment="1">
      <alignment vertical="center"/>
    </xf>
    <xf numFmtId="3" fontId="10" fillId="3" borderId="19" xfId="0" applyNumberFormat="1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9" fontId="10" fillId="3" borderId="17" xfId="0" applyNumberFormat="1" applyFont="1" applyFill="1" applyBorder="1" applyAlignment="1">
      <alignment vertical="center"/>
    </xf>
    <xf numFmtId="9" fontId="10" fillId="3" borderId="18" xfId="0" applyNumberFormat="1" applyFont="1" applyFill="1" applyBorder="1" applyAlignment="1">
      <alignment vertical="center"/>
    </xf>
    <xf numFmtId="9" fontId="10" fillId="3" borderId="19" xfId="0" applyNumberFormat="1" applyFont="1" applyFill="1" applyBorder="1" applyAlignment="1">
      <alignment vertical="center"/>
    </xf>
    <xf numFmtId="0" fontId="15" fillId="5" borderId="16" xfId="0" applyFont="1" applyFill="1" applyBorder="1" applyAlignment="1">
      <alignment horizontal="left" vertical="center" wrapText="1"/>
    </xf>
    <xf numFmtId="3" fontId="10" fillId="5" borderId="17" xfId="0" applyNumberFormat="1" applyFont="1" applyFill="1" applyBorder="1" applyAlignment="1">
      <alignment vertical="center"/>
    </xf>
    <xf numFmtId="3" fontId="10" fillId="5" borderId="18" xfId="0" applyNumberFormat="1" applyFont="1" applyFill="1" applyBorder="1" applyAlignment="1">
      <alignment vertical="center"/>
    </xf>
    <xf numFmtId="3" fontId="10" fillId="5" borderId="19" xfId="0" applyNumberFormat="1" applyFont="1" applyFill="1" applyBorder="1" applyAlignment="1">
      <alignment vertical="center"/>
    </xf>
    <xf numFmtId="0" fontId="10" fillId="5" borderId="18" xfId="0" applyFont="1" applyFill="1" applyBorder="1" applyAlignment="1">
      <alignment vertical="center"/>
    </xf>
    <xf numFmtId="9" fontId="10" fillId="5" borderId="17" xfId="0" applyNumberFormat="1" applyFont="1" applyFill="1" applyBorder="1" applyAlignment="1">
      <alignment vertical="center"/>
    </xf>
    <xf numFmtId="9" fontId="10" fillId="5" borderId="18" xfId="0" applyNumberFormat="1" applyFont="1" applyFill="1" applyBorder="1" applyAlignment="1">
      <alignment vertical="center"/>
    </xf>
    <xf numFmtId="9" fontId="10" fillId="5" borderId="19" xfId="0" applyNumberFormat="1" applyFont="1" applyFill="1" applyBorder="1" applyAlignment="1">
      <alignment vertical="center"/>
    </xf>
    <xf numFmtId="0" fontId="15" fillId="4" borderId="16" xfId="0" applyFont="1" applyFill="1" applyBorder="1" applyAlignment="1">
      <alignment horizontal="left" vertical="center" wrapText="1"/>
    </xf>
    <xf numFmtId="3" fontId="10" fillId="4" borderId="17" xfId="0" applyNumberFormat="1" applyFont="1" applyFill="1" applyBorder="1" applyAlignment="1">
      <alignment vertical="center"/>
    </xf>
    <xf numFmtId="3" fontId="10" fillId="4" borderId="18" xfId="0" applyNumberFormat="1" applyFont="1" applyFill="1" applyBorder="1" applyAlignment="1">
      <alignment vertical="center"/>
    </xf>
    <xf numFmtId="3" fontId="10" fillId="4" borderId="19" xfId="0" applyNumberFormat="1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9" fontId="10" fillId="4" borderId="17" xfId="0" applyNumberFormat="1" applyFont="1" applyFill="1" applyBorder="1" applyAlignment="1">
      <alignment vertical="center"/>
    </xf>
    <xf numFmtId="9" fontId="10" fillId="4" borderId="18" xfId="0" applyNumberFormat="1" applyFont="1" applyFill="1" applyBorder="1" applyAlignment="1">
      <alignment vertical="center"/>
    </xf>
    <xf numFmtId="9" fontId="10" fillId="4" borderId="19" xfId="0" applyNumberFormat="1" applyFont="1" applyFill="1" applyBorder="1" applyAlignment="1">
      <alignment vertical="center"/>
    </xf>
    <xf numFmtId="0" fontId="15" fillId="6" borderId="16" xfId="0" applyFont="1" applyFill="1" applyBorder="1" applyAlignment="1">
      <alignment horizontal="left" vertical="center" wrapText="1"/>
    </xf>
    <xf numFmtId="3" fontId="10" fillId="6" borderId="17" xfId="0" applyNumberFormat="1" applyFont="1" applyFill="1" applyBorder="1" applyAlignment="1">
      <alignment vertical="center"/>
    </xf>
    <xf numFmtId="3" fontId="10" fillId="6" borderId="18" xfId="0" applyNumberFormat="1" applyFont="1" applyFill="1" applyBorder="1" applyAlignment="1">
      <alignment vertical="center"/>
    </xf>
    <xf numFmtId="3" fontId="10" fillId="6" borderId="19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9" fontId="10" fillId="6" borderId="17" xfId="0" applyNumberFormat="1" applyFont="1" applyFill="1" applyBorder="1" applyAlignment="1">
      <alignment vertical="center"/>
    </xf>
    <xf numFmtId="9" fontId="10" fillId="6" borderId="18" xfId="0" applyNumberFormat="1" applyFont="1" applyFill="1" applyBorder="1" applyAlignment="1">
      <alignment vertical="center"/>
    </xf>
    <xf numFmtId="9" fontId="10" fillId="6" borderId="19" xfId="0" applyNumberFormat="1" applyFont="1" applyFill="1" applyBorder="1" applyAlignment="1">
      <alignment vertical="center"/>
    </xf>
    <xf numFmtId="0" fontId="15" fillId="6" borderId="15" xfId="0" applyFont="1" applyFill="1" applyBorder="1" applyAlignment="1">
      <alignment horizontal="left" vertical="center" wrapText="1"/>
    </xf>
    <xf numFmtId="3" fontId="10" fillId="6" borderId="8" xfId="0" applyNumberFormat="1" applyFont="1" applyFill="1" applyBorder="1" applyAlignment="1">
      <alignment vertical="center"/>
    </xf>
    <xf numFmtId="3" fontId="10" fillId="6" borderId="0" xfId="0" applyNumberFormat="1" applyFont="1" applyFill="1" applyBorder="1" applyAlignment="1">
      <alignment vertical="center"/>
    </xf>
    <xf numFmtId="3" fontId="10" fillId="6" borderId="9" xfId="0" applyNumberFormat="1" applyFont="1" applyFill="1" applyBorder="1" applyAlignment="1">
      <alignment vertical="center"/>
    </xf>
    <xf numFmtId="9" fontId="10" fillId="6" borderId="8" xfId="0" applyNumberFormat="1" applyFont="1" applyFill="1" applyBorder="1" applyAlignment="1">
      <alignment vertical="center"/>
    </xf>
    <xf numFmtId="9" fontId="10" fillId="6" borderId="0" xfId="0" applyNumberFormat="1" applyFont="1" applyFill="1" applyBorder="1" applyAlignment="1">
      <alignment vertical="center"/>
    </xf>
    <xf numFmtId="9" fontId="10" fillId="6" borderId="9" xfId="0" applyNumberFormat="1" applyFont="1" applyFill="1" applyBorder="1" applyAlignment="1">
      <alignment vertical="center"/>
    </xf>
    <xf numFmtId="0" fontId="15" fillId="7" borderId="16" xfId="0" applyFont="1" applyFill="1" applyBorder="1" applyAlignment="1">
      <alignment horizontal="left" vertical="center" wrapText="1"/>
    </xf>
    <xf numFmtId="3" fontId="10" fillId="7" borderId="17" xfId="0" applyNumberFormat="1" applyFont="1" applyFill="1" applyBorder="1" applyAlignment="1">
      <alignment vertical="center"/>
    </xf>
    <xf numFmtId="3" fontId="10" fillId="7" borderId="18" xfId="0" applyNumberFormat="1" applyFont="1" applyFill="1" applyBorder="1" applyAlignment="1">
      <alignment vertical="center"/>
    </xf>
    <xf numFmtId="3" fontId="10" fillId="7" borderId="19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9" fontId="10" fillId="7" borderId="17" xfId="0" applyNumberFormat="1" applyFont="1" applyFill="1" applyBorder="1" applyAlignment="1">
      <alignment vertical="center"/>
    </xf>
    <xf numFmtId="9" fontId="10" fillId="7" borderId="18" xfId="0" applyNumberFormat="1" applyFont="1" applyFill="1" applyBorder="1" applyAlignment="1">
      <alignment vertical="center"/>
    </xf>
    <xf numFmtId="9" fontId="10" fillId="7" borderId="19" xfId="0" applyNumberFormat="1" applyFont="1" applyFill="1" applyBorder="1" applyAlignment="1">
      <alignment vertical="center"/>
    </xf>
    <xf numFmtId="0" fontId="15" fillId="7" borderId="15" xfId="0" applyFont="1" applyFill="1" applyBorder="1" applyAlignment="1">
      <alignment horizontal="left" vertical="center" wrapText="1"/>
    </xf>
    <xf numFmtId="3" fontId="10" fillId="7" borderId="8" xfId="0" applyNumberFormat="1" applyFont="1" applyFill="1" applyBorder="1" applyAlignment="1">
      <alignment vertical="center"/>
    </xf>
    <xf numFmtId="3" fontId="10" fillId="7" borderId="9" xfId="0" applyNumberFormat="1" applyFont="1" applyFill="1" applyBorder="1" applyAlignment="1">
      <alignment vertical="center"/>
    </xf>
    <xf numFmtId="9" fontId="10" fillId="7" borderId="8" xfId="0" applyNumberFormat="1" applyFont="1" applyFill="1" applyBorder="1" applyAlignment="1">
      <alignment vertical="center"/>
    </xf>
    <xf numFmtId="9" fontId="10" fillId="7" borderId="9" xfId="0" applyNumberFormat="1" applyFont="1" applyFill="1" applyBorder="1" applyAlignment="1">
      <alignment vertical="center"/>
    </xf>
    <xf numFmtId="0" fontId="15" fillId="8" borderId="16" xfId="0" applyFont="1" applyFill="1" applyBorder="1" applyAlignment="1">
      <alignment horizontal="left" vertical="center" wrapText="1"/>
    </xf>
    <xf numFmtId="3" fontId="10" fillId="8" borderId="17" xfId="0" applyNumberFormat="1" applyFont="1" applyFill="1" applyBorder="1" applyAlignment="1">
      <alignment vertical="center"/>
    </xf>
    <xf numFmtId="3" fontId="10" fillId="8" borderId="18" xfId="0" applyNumberFormat="1" applyFont="1" applyFill="1" applyBorder="1" applyAlignment="1">
      <alignment vertical="center"/>
    </xf>
    <xf numFmtId="3" fontId="10" fillId="8" borderId="19" xfId="0" applyNumberFormat="1" applyFont="1" applyFill="1" applyBorder="1" applyAlignment="1">
      <alignment vertical="center"/>
    </xf>
    <xf numFmtId="0" fontId="10" fillId="8" borderId="18" xfId="0" applyFont="1" applyFill="1" applyBorder="1" applyAlignment="1">
      <alignment vertical="center"/>
    </xf>
    <xf numFmtId="9" fontId="10" fillId="8" borderId="17" xfId="0" applyNumberFormat="1" applyFont="1" applyFill="1" applyBorder="1" applyAlignment="1">
      <alignment vertical="center"/>
    </xf>
    <xf numFmtId="9" fontId="10" fillId="8" borderId="18" xfId="0" applyNumberFormat="1" applyFont="1" applyFill="1" applyBorder="1" applyAlignment="1">
      <alignment vertical="center"/>
    </xf>
    <xf numFmtId="9" fontId="10" fillId="8" borderId="19" xfId="0" applyNumberFormat="1" applyFont="1" applyFill="1" applyBorder="1" applyAlignment="1">
      <alignment vertical="center"/>
    </xf>
    <xf numFmtId="0" fontId="15" fillId="8" borderId="15" xfId="0" applyFont="1" applyFill="1" applyBorder="1" applyAlignment="1">
      <alignment horizontal="left" vertical="center" wrapText="1"/>
    </xf>
    <xf numFmtId="9" fontId="10" fillId="8" borderId="8" xfId="0" applyNumberFormat="1" applyFont="1" applyFill="1" applyBorder="1" applyAlignment="1">
      <alignment vertical="center"/>
    </xf>
    <xf numFmtId="9" fontId="10" fillId="8" borderId="9" xfId="0" applyNumberFormat="1" applyFont="1" applyFill="1" applyBorder="1" applyAlignment="1">
      <alignment vertical="center"/>
    </xf>
    <xf numFmtId="0" fontId="15" fillId="9" borderId="16" xfId="0" applyFont="1" applyFill="1" applyBorder="1" applyAlignment="1">
      <alignment horizontal="left" vertical="center" wrapText="1"/>
    </xf>
    <xf numFmtId="3" fontId="10" fillId="9" borderId="17" xfId="0" applyNumberFormat="1" applyFont="1" applyFill="1" applyBorder="1" applyAlignment="1">
      <alignment vertical="center"/>
    </xf>
    <xf numFmtId="3" fontId="10" fillId="9" borderId="18" xfId="0" applyNumberFormat="1" applyFont="1" applyFill="1" applyBorder="1" applyAlignment="1">
      <alignment vertical="center"/>
    </xf>
    <xf numFmtId="3" fontId="10" fillId="9" borderId="19" xfId="0" applyNumberFormat="1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9" fontId="10" fillId="9" borderId="17" xfId="0" applyNumberFormat="1" applyFont="1" applyFill="1" applyBorder="1" applyAlignment="1">
      <alignment vertical="center"/>
    </xf>
    <xf numFmtId="9" fontId="10" fillId="9" borderId="18" xfId="0" applyNumberFormat="1" applyFont="1" applyFill="1" applyBorder="1" applyAlignment="1">
      <alignment vertical="center"/>
    </xf>
    <xf numFmtId="9" fontId="10" fillId="9" borderId="19" xfId="0" applyNumberFormat="1" applyFont="1" applyFill="1" applyBorder="1" applyAlignment="1">
      <alignment vertical="center"/>
    </xf>
    <xf numFmtId="0" fontId="15" fillId="9" borderId="15" xfId="0" applyFont="1" applyFill="1" applyBorder="1" applyAlignment="1">
      <alignment horizontal="left" vertical="center" wrapText="1"/>
    </xf>
    <xf numFmtId="9" fontId="10" fillId="9" borderId="8" xfId="0" applyNumberFormat="1" applyFont="1" applyFill="1" applyBorder="1" applyAlignment="1">
      <alignment vertical="center"/>
    </xf>
    <xf numFmtId="9" fontId="10" fillId="9" borderId="9" xfId="0" applyNumberFormat="1" applyFont="1" applyFill="1" applyBorder="1" applyAlignment="1">
      <alignment vertical="center"/>
    </xf>
    <xf numFmtId="0" fontId="15" fillId="10" borderId="16" xfId="0" applyFont="1" applyFill="1" applyBorder="1" applyAlignment="1">
      <alignment horizontal="left" vertical="center" wrapText="1"/>
    </xf>
    <xf numFmtId="3" fontId="10" fillId="10" borderId="17" xfId="0" applyNumberFormat="1" applyFont="1" applyFill="1" applyBorder="1" applyAlignment="1">
      <alignment vertical="center"/>
    </xf>
    <xf numFmtId="3" fontId="10" fillId="10" borderId="18" xfId="0" applyNumberFormat="1" applyFont="1" applyFill="1" applyBorder="1" applyAlignment="1">
      <alignment vertical="center"/>
    </xf>
    <xf numFmtId="3" fontId="10" fillId="10" borderId="19" xfId="0" applyNumberFormat="1" applyFont="1" applyFill="1" applyBorder="1" applyAlignment="1">
      <alignment vertical="center"/>
    </xf>
    <xf numFmtId="0" fontId="10" fillId="10" borderId="18" xfId="0" applyFont="1" applyFill="1" applyBorder="1" applyAlignment="1">
      <alignment vertical="center"/>
    </xf>
    <xf numFmtId="9" fontId="10" fillId="10" borderId="17" xfId="0" applyNumberFormat="1" applyFont="1" applyFill="1" applyBorder="1" applyAlignment="1">
      <alignment vertical="center"/>
    </xf>
    <xf numFmtId="9" fontId="10" fillId="10" borderId="18" xfId="0" applyNumberFormat="1" applyFont="1" applyFill="1" applyBorder="1" applyAlignment="1">
      <alignment vertical="center"/>
    </xf>
    <xf numFmtId="9" fontId="10" fillId="10" borderId="19" xfId="0" applyNumberFormat="1" applyFont="1" applyFill="1" applyBorder="1" applyAlignment="1">
      <alignment vertical="center"/>
    </xf>
    <xf numFmtId="0" fontId="15" fillId="10" borderId="15" xfId="0" applyFont="1" applyFill="1" applyBorder="1" applyAlignment="1">
      <alignment horizontal="left" vertical="center" wrapText="1"/>
    </xf>
    <xf numFmtId="9" fontId="10" fillId="10" borderId="8" xfId="0" applyNumberFormat="1" applyFont="1" applyFill="1" applyBorder="1" applyAlignment="1">
      <alignment vertical="center"/>
    </xf>
    <xf numFmtId="9" fontId="10" fillId="10" borderId="9" xfId="0" applyNumberFormat="1" applyFont="1" applyFill="1" applyBorder="1" applyAlignment="1">
      <alignment vertical="center"/>
    </xf>
    <xf numFmtId="0" fontId="15" fillId="11" borderId="16" xfId="0" applyFont="1" applyFill="1" applyBorder="1" applyAlignment="1">
      <alignment horizontal="left" vertical="center" wrapText="1"/>
    </xf>
    <xf numFmtId="3" fontId="10" fillId="11" borderId="17" xfId="0" applyNumberFormat="1" applyFont="1" applyFill="1" applyBorder="1" applyAlignment="1">
      <alignment vertical="center"/>
    </xf>
    <xf numFmtId="3" fontId="10" fillId="11" borderId="18" xfId="0" applyNumberFormat="1" applyFont="1" applyFill="1" applyBorder="1" applyAlignment="1">
      <alignment vertical="center"/>
    </xf>
    <xf numFmtId="3" fontId="10" fillId="11" borderId="19" xfId="0" applyNumberFormat="1" applyFont="1" applyFill="1" applyBorder="1" applyAlignment="1">
      <alignment vertical="center"/>
    </xf>
    <xf numFmtId="0" fontId="10" fillId="11" borderId="18" xfId="0" applyFont="1" applyFill="1" applyBorder="1" applyAlignment="1">
      <alignment vertical="center"/>
    </xf>
    <xf numFmtId="9" fontId="10" fillId="11" borderId="17" xfId="0" applyNumberFormat="1" applyFont="1" applyFill="1" applyBorder="1" applyAlignment="1">
      <alignment vertical="center"/>
    </xf>
    <xf numFmtId="9" fontId="10" fillId="11" borderId="18" xfId="0" applyNumberFormat="1" applyFont="1" applyFill="1" applyBorder="1" applyAlignment="1">
      <alignment vertical="center"/>
    </xf>
    <xf numFmtId="9" fontId="10" fillId="11" borderId="19" xfId="0" applyNumberFormat="1" applyFont="1" applyFill="1" applyBorder="1" applyAlignment="1">
      <alignment vertical="center"/>
    </xf>
    <xf numFmtId="0" fontId="15" fillId="11" borderId="15" xfId="0" applyFont="1" applyFill="1" applyBorder="1" applyAlignment="1">
      <alignment horizontal="left" vertical="center" wrapText="1"/>
    </xf>
    <xf numFmtId="9" fontId="10" fillId="11" borderId="8" xfId="0" applyNumberFormat="1" applyFont="1" applyFill="1" applyBorder="1" applyAlignment="1">
      <alignment vertical="center"/>
    </xf>
    <xf numFmtId="9" fontId="10" fillId="11" borderId="9" xfId="0" applyNumberFormat="1" applyFont="1" applyFill="1" applyBorder="1" applyAlignment="1">
      <alignment vertical="center"/>
    </xf>
    <xf numFmtId="0" fontId="15" fillId="12" borderId="16" xfId="0" applyFont="1" applyFill="1" applyBorder="1" applyAlignment="1">
      <alignment horizontal="left" vertical="center" wrapText="1"/>
    </xf>
    <xf numFmtId="3" fontId="10" fillId="12" borderId="17" xfId="0" applyNumberFormat="1" applyFont="1" applyFill="1" applyBorder="1" applyAlignment="1">
      <alignment vertical="center"/>
    </xf>
    <xf numFmtId="3" fontId="10" fillId="12" borderId="18" xfId="0" applyNumberFormat="1" applyFont="1" applyFill="1" applyBorder="1" applyAlignment="1">
      <alignment vertical="center"/>
    </xf>
    <xf numFmtId="3" fontId="10" fillId="12" borderId="19" xfId="0" applyNumberFormat="1" applyFont="1" applyFill="1" applyBorder="1" applyAlignment="1">
      <alignment vertical="center"/>
    </xf>
    <xf numFmtId="0" fontId="10" fillId="12" borderId="18" xfId="0" applyFont="1" applyFill="1" applyBorder="1" applyAlignment="1">
      <alignment vertical="center"/>
    </xf>
    <xf numFmtId="9" fontId="10" fillId="12" borderId="17" xfId="0" applyNumberFormat="1" applyFont="1" applyFill="1" applyBorder="1" applyAlignment="1">
      <alignment vertical="center"/>
    </xf>
    <xf numFmtId="9" fontId="10" fillId="12" borderId="18" xfId="0" applyNumberFormat="1" applyFont="1" applyFill="1" applyBorder="1" applyAlignment="1">
      <alignment vertical="center"/>
    </xf>
    <xf numFmtId="9" fontId="10" fillId="12" borderId="19" xfId="0" applyNumberFormat="1" applyFont="1" applyFill="1" applyBorder="1" applyAlignment="1">
      <alignment vertical="center"/>
    </xf>
    <xf numFmtId="0" fontId="15" fillId="12" borderId="15" xfId="0" applyFont="1" applyFill="1" applyBorder="1" applyAlignment="1">
      <alignment horizontal="left" vertical="center" wrapText="1"/>
    </xf>
    <xf numFmtId="9" fontId="10" fillId="12" borderId="8" xfId="0" applyNumberFormat="1" applyFont="1" applyFill="1" applyBorder="1" applyAlignment="1">
      <alignment vertical="center"/>
    </xf>
    <xf numFmtId="9" fontId="10" fillId="12" borderId="9" xfId="0" applyNumberFormat="1" applyFont="1" applyFill="1" applyBorder="1" applyAlignment="1">
      <alignment vertical="center"/>
    </xf>
    <xf numFmtId="0" fontId="15" fillId="13" borderId="16" xfId="0" applyFont="1" applyFill="1" applyBorder="1" applyAlignment="1">
      <alignment horizontal="left" vertical="center" wrapText="1"/>
    </xf>
    <xf numFmtId="3" fontId="10" fillId="13" borderId="17" xfId="0" applyNumberFormat="1" applyFont="1" applyFill="1" applyBorder="1" applyAlignment="1">
      <alignment vertical="center"/>
    </xf>
    <xf numFmtId="3" fontId="10" fillId="13" borderId="18" xfId="0" applyNumberFormat="1" applyFont="1" applyFill="1" applyBorder="1" applyAlignment="1">
      <alignment vertical="center"/>
    </xf>
    <xf numFmtId="3" fontId="10" fillId="13" borderId="19" xfId="0" applyNumberFormat="1" applyFont="1" applyFill="1" applyBorder="1" applyAlignment="1">
      <alignment vertical="center"/>
    </xf>
    <xf numFmtId="0" fontId="10" fillId="13" borderId="18" xfId="0" applyFont="1" applyFill="1" applyBorder="1" applyAlignment="1">
      <alignment vertical="center"/>
    </xf>
    <xf numFmtId="9" fontId="10" fillId="13" borderId="17" xfId="0" applyNumberFormat="1" applyFont="1" applyFill="1" applyBorder="1" applyAlignment="1">
      <alignment vertical="center"/>
    </xf>
    <xf numFmtId="9" fontId="10" fillId="13" borderId="18" xfId="0" applyNumberFormat="1" applyFont="1" applyFill="1" applyBorder="1" applyAlignment="1">
      <alignment vertical="center"/>
    </xf>
    <xf numFmtId="9" fontId="10" fillId="13" borderId="19" xfId="0" applyNumberFormat="1" applyFont="1" applyFill="1" applyBorder="1" applyAlignment="1">
      <alignment vertical="center"/>
    </xf>
    <xf numFmtId="0" fontId="15" fillId="14" borderId="16" xfId="0" applyFont="1" applyFill="1" applyBorder="1" applyAlignment="1">
      <alignment horizontal="left" vertical="center" wrapText="1"/>
    </xf>
    <xf numFmtId="3" fontId="10" fillId="14" borderId="17" xfId="0" applyNumberFormat="1" applyFont="1" applyFill="1" applyBorder="1" applyAlignment="1">
      <alignment vertical="center"/>
    </xf>
    <xf numFmtId="3" fontId="10" fillId="14" borderId="18" xfId="0" applyNumberFormat="1" applyFont="1" applyFill="1" applyBorder="1" applyAlignment="1">
      <alignment vertical="center"/>
    </xf>
    <xf numFmtId="3" fontId="10" fillId="14" borderId="19" xfId="0" applyNumberFormat="1" applyFont="1" applyFill="1" applyBorder="1" applyAlignment="1">
      <alignment vertical="center"/>
    </xf>
    <xf numFmtId="0" fontId="10" fillId="14" borderId="18" xfId="0" applyFont="1" applyFill="1" applyBorder="1" applyAlignment="1">
      <alignment vertical="center"/>
    </xf>
    <xf numFmtId="9" fontId="10" fillId="14" borderId="17" xfId="0" applyNumberFormat="1" applyFont="1" applyFill="1" applyBorder="1" applyAlignment="1">
      <alignment vertical="center"/>
    </xf>
    <xf numFmtId="9" fontId="10" fillId="14" borderId="18" xfId="0" applyNumberFormat="1" applyFont="1" applyFill="1" applyBorder="1" applyAlignment="1">
      <alignment vertical="center"/>
    </xf>
    <xf numFmtId="9" fontId="10" fillId="14" borderId="19" xfId="0" applyNumberFormat="1" applyFont="1" applyFill="1" applyBorder="1" applyAlignment="1">
      <alignment vertical="center"/>
    </xf>
    <xf numFmtId="0" fontId="27" fillId="15" borderId="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7" fillId="16" borderId="2" xfId="0" applyFont="1" applyFill="1" applyBorder="1" applyAlignment="1">
      <alignment horizontal="center" vertical="center" wrapText="1"/>
    </xf>
    <xf numFmtId="0" fontId="26" fillId="17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6" fillId="0" borderId="7" xfId="0" applyFont="1" applyBorder="1" applyAlignment="1">
      <alignment horizontal="center" wrapText="1"/>
    </xf>
    <xf numFmtId="0" fontId="33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vertical="top" wrapText="1"/>
    </xf>
    <xf numFmtId="0" fontId="34" fillId="0" borderId="0" xfId="0" applyFont="1"/>
    <xf numFmtId="0" fontId="34" fillId="0" borderId="0" xfId="0" applyFont="1" applyAlignment="1">
      <alignment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26" fillId="0" borderId="20" xfId="0" applyFont="1" applyBorder="1" applyAlignment="1">
      <alignment horizontal="center" vertical="center"/>
    </xf>
    <xf numFmtId="164" fontId="25" fillId="0" borderId="21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9" fontId="25" fillId="0" borderId="21" xfId="1" applyFont="1" applyBorder="1" applyAlignment="1">
      <alignment horizontal="center" vertical="center"/>
    </xf>
    <xf numFmtId="9" fontId="25" fillId="0" borderId="22" xfId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9" fontId="25" fillId="0" borderId="24" xfId="1" applyFont="1" applyBorder="1" applyAlignment="1">
      <alignment horizontal="center" vertical="center"/>
    </xf>
    <xf numFmtId="9" fontId="25" fillId="0" borderId="25" xfId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3" fontId="25" fillId="0" borderId="21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9" fontId="25" fillId="0" borderId="24" xfId="1" applyNumberFormat="1" applyFont="1" applyBorder="1" applyAlignment="1">
      <alignment horizontal="center" vertical="center"/>
    </xf>
    <xf numFmtId="9" fontId="25" fillId="0" borderId="25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15" fillId="14" borderId="15" xfId="0" applyFont="1" applyFill="1" applyBorder="1" applyAlignment="1">
      <alignment horizontal="left" vertical="center" wrapText="1"/>
    </xf>
    <xf numFmtId="3" fontId="10" fillId="14" borderId="8" xfId="0" applyNumberFormat="1" applyFont="1" applyFill="1" applyBorder="1" applyAlignment="1">
      <alignment vertical="center"/>
    </xf>
    <xf numFmtId="3" fontId="10" fillId="14" borderId="0" xfId="0" applyNumberFormat="1" applyFont="1" applyFill="1" applyBorder="1" applyAlignment="1">
      <alignment vertical="center"/>
    </xf>
    <xf numFmtId="3" fontId="10" fillId="14" borderId="9" xfId="0" applyNumberFormat="1" applyFont="1" applyFill="1" applyBorder="1" applyAlignment="1">
      <alignment vertical="center"/>
    </xf>
    <xf numFmtId="9" fontId="10" fillId="14" borderId="8" xfId="0" applyNumberFormat="1" applyFont="1" applyFill="1" applyBorder="1" applyAlignment="1">
      <alignment vertical="center"/>
    </xf>
    <xf numFmtId="9" fontId="10" fillId="14" borderId="0" xfId="0" applyNumberFormat="1" applyFont="1" applyFill="1" applyBorder="1" applyAlignment="1">
      <alignment vertical="center"/>
    </xf>
    <xf numFmtId="9" fontId="10" fillId="14" borderId="9" xfId="0" applyNumberFormat="1" applyFont="1" applyFill="1" applyBorder="1" applyAlignment="1">
      <alignment vertical="center"/>
    </xf>
    <xf numFmtId="0" fontId="37" fillId="0" borderId="23" xfId="0" applyFont="1" applyBorder="1" applyAlignment="1">
      <alignment vertical="center"/>
    </xf>
    <xf numFmtId="164" fontId="38" fillId="0" borderId="24" xfId="0" applyNumberFormat="1" applyFont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9" fontId="38" fillId="0" borderId="24" xfId="1" applyFont="1" applyBorder="1" applyAlignment="1">
      <alignment horizontal="center" vertical="center"/>
    </xf>
    <xf numFmtId="9" fontId="38" fillId="0" borderId="25" xfId="1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5" fillId="11" borderId="14" xfId="0" applyFont="1" applyFill="1" applyBorder="1" applyAlignment="1">
      <alignment horizontal="left" vertical="center" wrapText="1"/>
    </xf>
    <xf numFmtId="3" fontId="10" fillId="11" borderId="6" xfId="0" applyNumberFormat="1" applyFont="1" applyFill="1" applyBorder="1" applyAlignment="1">
      <alignment vertical="center"/>
    </xf>
    <xf numFmtId="3" fontId="10" fillId="11" borderId="1" xfId="0" applyNumberFormat="1" applyFont="1" applyFill="1" applyBorder="1" applyAlignment="1">
      <alignment vertical="center"/>
    </xf>
    <xf numFmtId="3" fontId="10" fillId="11" borderId="7" xfId="0" applyNumberFormat="1" applyFont="1" applyFill="1" applyBorder="1" applyAlignment="1">
      <alignment vertical="center"/>
    </xf>
    <xf numFmtId="9" fontId="10" fillId="11" borderId="6" xfId="0" applyNumberFormat="1" applyFont="1" applyFill="1" applyBorder="1" applyAlignment="1">
      <alignment vertical="center"/>
    </xf>
    <xf numFmtId="9" fontId="10" fillId="11" borderId="1" xfId="0" applyNumberFormat="1" applyFont="1" applyFill="1" applyBorder="1" applyAlignment="1">
      <alignment vertical="center"/>
    </xf>
    <xf numFmtId="9" fontId="10" fillId="11" borderId="7" xfId="0" applyNumberFormat="1" applyFont="1" applyFill="1" applyBorder="1" applyAlignment="1">
      <alignment vertical="center"/>
    </xf>
    <xf numFmtId="164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9" fontId="10" fillId="14" borderId="10" xfId="0" applyNumberFormat="1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  <mruColors>
      <color rgb="FF3A75C4"/>
      <color rgb="FFF2BF49"/>
      <color rgb="FFCE1126"/>
      <color rgb="FF076D54"/>
      <color rgb="FF5447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51672886542389"/>
          <c:y val="0.14232256358327602"/>
          <c:w val="0.82048334841663151"/>
          <c:h val="0.74343632345264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Chart'!$C$5</c:f>
              <c:strCache>
                <c:ptCount val="1"/>
                <c:pt idx="0">
                  <c:v>Tenured &amp; Tenure Eligible Faculty</c:v>
                </c:pt>
              </c:strCache>
            </c:strRef>
          </c:tx>
          <c:spPr>
            <a:solidFill>
              <a:srgbClr val="3A75C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Chart'!$B$36:$B$48</c15:sqref>
                  </c15:fullRef>
                </c:ext>
              </c:extLst>
              <c:f>('Data for Chart'!$B$38,'Data for Chart'!$B$40,'Data for Chart'!$B$42,'Data for Chart'!$B$44,'Data for Chart'!$B$46,'Data for Chart'!$B$48)</c:f>
              <c:strCache>
                <c:ptCount val="6"/>
                <c:pt idx="0">
                  <c:v>FALL 2016</c:v>
                </c:pt>
                <c:pt idx="1">
                  <c:v>FALL 2017</c:v>
                </c:pt>
                <c:pt idx="2">
                  <c:v>FALL 2018</c:v>
                </c:pt>
                <c:pt idx="3">
                  <c:v>FALL 2019</c:v>
                </c:pt>
                <c:pt idx="4">
                  <c:v>FALL 2020</c:v>
                </c:pt>
                <c:pt idx="5">
                  <c:v>FALL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Chart'!$C$36:$C$48</c15:sqref>
                  </c15:fullRef>
                </c:ext>
              </c:extLst>
              <c:f>('Data for Chart'!$C$38,'Data for Chart'!$C$40,'Data for Chart'!$C$42,'Data for Chart'!$C$44,'Data for Chart'!$C$46,'Data for Chart'!$C$48)</c:f>
              <c:numCache>
                <c:formatCode>#,##0</c:formatCode>
                <c:ptCount val="6"/>
                <c:pt idx="0">
                  <c:v>231916.79999999999</c:v>
                </c:pt>
                <c:pt idx="1">
                  <c:v>222732</c:v>
                </c:pt>
                <c:pt idx="2">
                  <c:v>221462.6</c:v>
                </c:pt>
                <c:pt idx="3">
                  <c:v>204740.7</c:v>
                </c:pt>
                <c:pt idx="4">
                  <c:v>190649.5</c:v>
                </c:pt>
                <c:pt idx="5">
                  <c:v>180420.7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D-4F64-8492-74C4D9930C50}"/>
            </c:ext>
          </c:extLst>
        </c:ser>
        <c:ser>
          <c:idx val="1"/>
          <c:order val="1"/>
          <c:tx>
            <c:strRef>
              <c:f>'Data for Chart'!$D$5</c:f>
              <c:strCache>
                <c:ptCount val="1"/>
                <c:pt idx="0">
                  <c:v>Term Faculty</c:v>
                </c:pt>
              </c:strCache>
            </c:strRef>
          </c:tx>
          <c:spPr>
            <a:solidFill>
              <a:srgbClr val="CE112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Chart'!$B$36:$B$48</c15:sqref>
                  </c15:fullRef>
                </c:ext>
              </c:extLst>
              <c:f>('Data for Chart'!$B$38,'Data for Chart'!$B$40,'Data for Chart'!$B$42,'Data for Chart'!$B$44,'Data for Chart'!$B$46,'Data for Chart'!$B$48)</c:f>
              <c:strCache>
                <c:ptCount val="6"/>
                <c:pt idx="0">
                  <c:v>FALL 2016</c:v>
                </c:pt>
                <c:pt idx="1">
                  <c:v>FALL 2017</c:v>
                </c:pt>
                <c:pt idx="2">
                  <c:v>FALL 2018</c:v>
                </c:pt>
                <c:pt idx="3">
                  <c:v>FALL 2019</c:v>
                </c:pt>
                <c:pt idx="4">
                  <c:v>FALL 2020</c:v>
                </c:pt>
                <c:pt idx="5">
                  <c:v>FALL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Chart'!$D$36:$D$48</c15:sqref>
                  </c15:fullRef>
                </c:ext>
              </c:extLst>
              <c:f>('Data for Chart'!$D$38,'Data for Chart'!$D$40,'Data for Chart'!$D$42,'Data for Chart'!$D$44,'Data for Chart'!$D$46,'Data for Chart'!$D$48)</c:f>
              <c:numCache>
                <c:formatCode>#,##0</c:formatCode>
                <c:ptCount val="6"/>
                <c:pt idx="0">
                  <c:v>175652.3</c:v>
                </c:pt>
                <c:pt idx="1">
                  <c:v>181530.5</c:v>
                </c:pt>
                <c:pt idx="2">
                  <c:v>177514.39999999997</c:v>
                </c:pt>
                <c:pt idx="3">
                  <c:v>171799.39999999994</c:v>
                </c:pt>
                <c:pt idx="4">
                  <c:v>166677.70000000001</c:v>
                </c:pt>
                <c:pt idx="5">
                  <c:v>153978.30000000002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D-4F64-8492-74C4D9930C50}"/>
            </c:ext>
          </c:extLst>
        </c:ser>
        <c:ser>
          <c:idx val="2"/>
          <c:order val="2"/>
          <c:tx>
            <c:strRef>
              <c:f>'Data for Chart'!$E$5</c:f>
              <c:strCache>
                <c:ptCount val="1"/>
                <c:pt idx="0">
                  <c:v>Teaching Assistants</c:v>
                </c:pt>
              </c:strCache>
            </c:strRef>
          </c:tx>
          <c:spPr>
            <a:solidFill>
              <a:srgbClr val="F2BF4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Chart'!$B$36:$B$48</c15:sqref>
                  </c15:fullRef>
                </c:ext>
              </c:extLst>
              <c:f>('Data for Chart'!$B$38,'Data for Chart'!$B$40,'Data for Chart'!$B$42,'Data for Chart'!$B$44,'Data for Chart'!$B$46,'Data for Chart'!$B$48)</c:f>
              <c:strCache>
                <c:ptCount val="6"/>
                <c:pt idx="0">
                  <c:v>FALL 2016</c:v>
                </c:pt>
                <c:pt idx="1">
                  <c:v>FALL 2017</c:v>
                </c:pt>
                <c:pt idx="2">
                  <c:v>FALL 2018</c:v>
                </c:pt>
                <c:pt idx="3">
                  <c:v>FALL 2019</c:v>
                </c:pt>
                <c:pt idx="4">
                  <c:v>FALL 2020</c:v>
                </c:pt>
                <c:pt idx="5">
                  <c:v>FALL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Chart'!$E$36:$E$48</c15:sqref>
                  </c15:fullRef>
                </c:ext>
              </c:extLst>
              <c:f>('Data for Chart'!$E$38,'Data for Chart'!$E$40,'Data for Chart'!$E$42,'Data for Chart'!$E$44,'Data for Chart'!$E$46,'Data for Chart'!$E$48)</c:f>
              <c:numCache>
                <c:formatCode>#,##0</c:formatCode>
                <c:ptCount val="6"/>
                <c:pt idx="0">
                  <c:v>53107</c:v>
                </c:pt>
                <c:pt idx="1">
                  <c:v>53325</c:v>
                </c:pt>
                <c:pt idx="2">
                  <c:v>51337.1</c:v>
                </c:pt>
                <c:pt idx="3">
                  <c:v>53370.6</c:v>
                </c:pt>
                <c:pt idx="4">
                  <c:v>45457.7</c:v>
                </c:pt>
                <c:pt idx="5">
                  <c:v>45299.9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D-4F64-8492-74C4D9930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3483112"/>
        <c:axId val="223481936"/>
      </c:barChart>
      <c:catAx>
        <c:axId val="22348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48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NUMBER OF </a:t>
                </a:r>
                <a:r>
                  <a:rPr lang="en-US" sz="1000"/>
                  <a:t>SCH</a:t>
                </a:r>
                <a:r>
                  <a:rPr lang="en-US" sz="900"/>
                  <a:t> TAUGHT</a:t>
                </a:r>
              </a:p>
            </c:rich>
          </c:tx>
          <c:layout>
            <c:manualLayout>
              <c:xMode val="edge"/>
              <c:yMode val="edge"/>
              <c:x val="1.9991900988757059E-2"/>
              <c:y val="0.119805288927215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3112"/>
        <c:crosses val="autoZero"/>
        <c:crossBetween val="between"/>
        <c:min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788312880933119"/>
          <c:y val="3.0508626690858805E-2"/>
          <c:w val="0.8155065398001432"/>
          <c:h val="0.11748703341088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2975343094253"/>
          <c:y val="0.19824741835105486"/>
          <c:w val="0.80365421938480908"/>
          <c:h val="0.661459177755231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Chart'!$C$5</c:f>
              <c:strCache>
                <c:ptCount val="1"/>
                <c:pt idx="0">
                  <c:v>Tenured &amp; Tenure Eligible Faculty</c:v>
                </c:pt>
              </c:strCache>
            </c:strRef>
          </c:tx>
          <c:spPr>
            <a:solidFill>
              <a:srgbClr val="3A75C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Chart'!$B$33:$B$47</c15:sqref>
                  </c15:fullRef>
                </c:ext>
              </c:extLst>
              <c:f>('Data for Chart'!$B$37,'Data for Chart'!$B$39,'Data for Chart'!$B$41,'Data for Chart'!$B$43,'Data for Chart'!$B$45,'Data for Chart'!$B$47)</c:f>
              <c:strCache>
                <c:ptCount val="6"/>
                <c:pt idx="0">
                  <c:v>SPRING 2016</c:v>
                </c:pt>
                <c:pt idx="1">
                  <c:v>SPRING 2017</c:v>
                </c:pt>
                <c:pt idx="2">
                  <c:v>SPRING 2018</c:v>
                </c:pt>
                <c:pt idx="3">
                  <c:v>SPRING 2019</c:v>
                </c:pt>
                <c:pt idx="4">
                  <c:v>SPRING 2020</c:v>
                </c:pt>
                <c:pt idx="5">
                  <c:v>SPRING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Chart'!$C$33:$C$47</c15:sqref>
                  </c15:fullRef>
                </c:ext>
              </c:extLst>
              <c:f>('Data for Chart'!$C$37,'Data for Chart'!$C$39,'Data for Chart'!$C$41,'Data for Chart'!$C$43,'Data for Chart'!$C$45,'Data for Chart'!$C$47)</c:f>
              <c:numCache>
                <c:formatCode>#,##0</c:formatCode>
                <c:ptCount val="6"/>
                <c:pt idx="0">
                  <c:v>218266.1</c:v>
                </c:pt>
                <c:pt idx="1">
                  <c:v>211957</c:v>
                </c:pt>
                <c:pt idx="2">
                  <c:v>203344</c:v>
                </c:pt>
                <c:pt idx="3">
                  <c:v>191437.3</c:v>
                </c:pt>
                <c:pt idx="4">
                  <c:v>177980.1</c:v>
                </c:pt>
                <c:pt idx="5">
                  <c:v>168587.2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2B-42B0-B8F6-E2714C0B91C7}"/>
            </c:ext>
          </c:extLst>
        </c:ser>
        <c:ser>
          <c:idx val="1"/>
          <c:order val="1"/>
          <c:tx>
            <c:strRef>
              <c:f>'Data for Chart'!$D$5</c:f>
              <c:strCache>
                <c:ptCount val="1"/>
                <c:pt idx="0">
                  <c:v>Term Faculty</c:v>
                </c:pt>
              </c:strCache>
            </c:strRef>
          </c:tx>
          <c:spPr>
            <a:solidFill>
              <a:srgbClr val="CE112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Chart'!$B$33:$B$47</c15:sqref>
                  </c15:fullRef>
                </c:ext>
              </c:extLst>
              <c:f>('Data for Chart'!$B$37,'Data for Chart'!$B$39,'Data for Chart'!$B$41,'Data for Chart'!$B$43,'Data for Chart'!$B$45,'Data for Chart'!$B$47)</c:f>
              <c:strCache>
                <c:ptCount val="6"/>
                <c:pt idx="0">
                  <c:v>SPRING 2016</c:v>
                </c:pt>
                <c:pt idx="1">
                  <c:v>SPRING 2017</c:v>
                </c:pt>
                <c:pt idx="2">
                  <c:v>SPRING 2018</c:v>
                </c:pt>
                <c:pt idx="3">
                  <c:v>SPRING 2019</c:v>
                </c:pt>
                <c:pt idx="4">
                  <c:v>SPRING 2020</c:v>
                </c:pt>
                <c:pt idx="5">
                  <c:v>SPRING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Chart'!$D$33:$D$47</c15:sqref>
                  </c15:fullRef>
                </c:ext>
              </c:extLst>
              <c:f>('Data for Chart'!$D$37,'Data for Chart'!$D$39,'Data for Chart'!$D$41,'Data for Chart'!$D$43,'Data for Chart'!$D$45,'Data for Chart'!$D$47)</c:f>
              <c:numCache>
                <c:formatCode>#,##0</c:formatCode>
                <c:ptCount val="6"/>
                <c:pt idx="0">
                  <c:v>160199.70000000001</c:v>
                </c:pt>
                <c:pt idx="1">
                  <c:v>170476.59999999998</c:v>
                </c:pt>
                <c:pt idx="2">
                  <c:v>169521.90000000002</c:v>
                </c:pt>
                <c:pt idx="3">
                  <c:v>168047.80000000005</c:v>
                </c:pt>
                <c:pt idx="4">
                  <c:v>169568.10000000003</c:v>
                </c:pt>
                <c:pt idx="5">
                  <c:v>166232.4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2B-42B0-B8F6-E2714C0B91C7}"/>
            </c:ext>
          </c:extLst>
        </c:ser>
        <c:ser>
          <c:idx val="2"/>
          <c:order val="2"/>
          <c:tx>
            <c:strRef>
              <c:f>'Data for Chart'!$E$5</c:f>
              <c:strCache>
                <c:ptCount val="1"/>
                <c:pt idx="0">
                  <c:v>Teaching Assistants</c:v>
                </c:pt>
              </c:strCache>
            </c:strRef>
          </c:tx>
          <c:spPr>
            <a:solidFill>
              <a:srgbClr val="F2BF4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Chart'!$B$33:$B$47</c15:sqref>
                  </c15:fullRef>
                </c:ext>
              </c:extLst>
              <c:f>('Data for Chart'!$B$37,'Data for Chart'!$B$39,'Data for Chart'!$B$41,'Data for Chart'!$B$43,'Data for Chart'!$B$45,'Data for Chart'!$B$47)</c:f>
              <c:strCache>
                <c:ptCount val="6"/>
                <c:pt idx="0">
                  <c:v>SPRING 2016</c:v>
                </c:pt>
                <c:pt idx="1">
                  <c:v>SPRING 2017</c:v>
                </c:pt>
                <c:pt idx="2">
                  <c:v>SPRING 2018</c:v>
                </c:pt>
                <c:pt idx="3">
                  <c:v>SPRING 2019</c:v>
                </c:pt>
                <c:pt idx="4">
                  <c:v>SPRING 2020</c:v>
                </c:pt>
                <c:pt idx="5">
                  <c:v>SPRING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Chart'!$E$33:$E$47</c15:sqref>
                  </c15:fullRef>
                </c:ext>
              </c:extLst>
              <c:f>('Data for Chart'!$E$37,'Data for Chart'!$E$39,'Data for Chart'!$E$41,'Data for Chart'!$E$43,'Data for Chart'!$E$45,'Data for Chart'!$E$47)</c:f>
              <c:numCache>
                <c:formatCode>#,##0</c:formatCode>
                <c:ptCount val="6"/>
                <c:pt idx="0">
                  <c:v>50835.7</c:v>
                </c:pt>
                <c:pt idx="1">
                  <c:v>49016</c:v>
                </c:pt>
                <c:pt idx="2">
                  <c:v>48517</c:v>
                </c:pt>
                <c:pt idx="3">
                  <c:v>50631</c:v>
                </c:pt>
                <c:pt idx="4">
                  <c:v>50283.7</c:v>
                </c:pt>
                <c:pt idx="5">
                  <c:v>44166.9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2B-42B0-B8F6-E2714C0B9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3483112"/>
        <c:axId val="223481936"/>
      </c:barChart>
      <c:catAx>
        <c:axId val="22348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48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NUMBER OF </a:t>
                </a:r>
                <a:r>
                  <a:rPr lang="en-US" sz="1000"/>
                  <a:t>SCH</a:t>
                </a:r>
                <a:r>
                  <a:rPr lang="en-US" sz="900"/>
                  <a:t> TAUGHT</a:t>
                </a:r>
              </a:p>
            </c:rich>
          </c:tx>
          <c:layout>
            <c:manualLayout>
              <c:xMode val="edge"/>
              <c:yMode val="edge"/>
              <c:x val="2.2137612343313059E-2"/>
              <c:y val="0.195956440224719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3112"/>
        <c:crosses val="autoZero"/>
        <c:crossBetween val="between"/>
        <c:min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735759504237361"/>
          <c:y val="0.13430795324943706"/>
          <c:w val="0.80656199940303097"/>
          <c:h val="8.49946540960851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8428735023299"/>
          <c:y val="0.16846270840691699"/>
          <c:w val="0.80707185339096066"/>
          <c:h val="0.61016947223498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Chart'!$C$73</c:f>
              <c:strCache>
                <c:ptCount val="1"/>
                <c:pt idx="0">
                  <c:v>Tenured &amp; Tenure Eligible Faculty</c:v>
                </c:pt>
              </c:strCache>
            </c:strRef>
          </c:tx>
          <c:spPr>
            <a:solidFill>
              <a:srgbClr val="3A75C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for Chart'!$B$74:$B$79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'Data for Chart'!$C$74:$C$79</c:f>
              <c:numCache>
                <c:formatCode>???,??0</c:formatCode>
                <c:ptCount val="6"/>
                <c:pt idx="0" formatCode="#,##0">
                  <c:v>474433.1</c:v>
                </c:pt>
                <c:pt idx="1">
                  <c:v>461534.6</c:v>
                </c:pt>
                <c:pt idx="2">
                  <c:v>442063.2</c:v>
                </c:pt>
                <c:pt idx="3">
                  <c:v>426701.9</c:v>
                </c:pt>
                <c:pt idx="4">
                  <c:v>395880.1</c:v>
                </c:pt>
                <c:pt idx="5">
                  <c:v>371729.30000000005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A-4BE8-8893-F12936231CF7}"/>
            </c:ext>
          </c:extLst>
        </c:ser>
        <c:ser>
          <c:idx val="1"/>
          <c:order val="1"/>
          <c:tx>
            <c:strRef>
              <c:f>'Data for Chart'!$D$73</c:f>
              <c:strCache>
                <c:ptCount val="1"/>
                <c:pt idx="0">
                  <c:v>Term Faculty</c:v>
                </c:pt>
              </c:strCache>
            </c:strRef>
          </c:tx>
          <c:spPr>
            <a:solidFill>
              <a:srgbClr val="CE112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for Chart'!$B$74:$B$79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'Data for Chart'!$D$74:$D$79</c:f>
              <c:numCache>
                <c:formatCode>???,??0</c:formatCode>
                <c:ptCount val="6"/>
                <c:pt idx="0">
                  <c:v>343592.29999999993</c:v>
                </c:pt>
                <c:pt idx="1">
                  <c:v>364886.7</c:v>
                </c:pt>
                <c:pt idx="2">
                  <c:v>369996.70000000007</c:v>
                </c:pt>
                <c:pt idx="3">
                  <c:v>364480.09999999992</c:v>
                </c:pt>
                <c:pt idx="4">
                  <c:v>358821.80000000005</c:v>
                </c:pt>
                <c:pt idx="5">
                  <c:v>351533.7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A-4BE8-8893-F12936231CF7}"/>
            </c:ext>
          </c:extLst>
        </c:ser>
        <c:ser>
          <c:idx val="2"/>
          <c:order val="2"/>
          <c:tx>
            <c:strRef>
              <c:f>'Data for Chart'!$E$73</c:f>
              <c:strCache>
                <c:ptCount val="1"/>
                <c:pt idx="0">
                  <c:v>Teaching Assistants</c:v>
                </c:pt>
              </c:strCache>
            </c:strRef>
          </c:tx>
          <c:spPr>
            <a:solidFill>
              <a:srgbClr val="F2BF4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for Chart'!$B$74:$B$79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'Data for Chart'!$E$74:$E$79</c:f>
              <c:numCache>
                <c:formatCode>???,??0</c:formatCode>
                <c:ptCount val="6"/>
                <c:pt idx="0">
                  <c:v>112642.5</c:v>
                </c:pt>
                <c:pt idx="1">
                  <c:v>109893.8</c:v>
                </c:pt>
                <c:pt idx="2">
                  <c:v>108875.4</c:v>
                </c:pt>
                <c:pt idx="3">
                  <c:v>109197.7</c:v>
                </c:pt>
                <c:pt idx="4">
                  <c:v>110238.1</c:v>
                </c:pt>
                <c:pt idx="5">
                  <c:v>96149.7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3A-4BE8-8893-F12936231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3483112"/>
        <c:axId val="223481936"/>
      </c:barChart>
      <c:catAx>
        <c:axId val="223483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ACADEMIC YEAR</a:t>
                </a:r>
              </a:p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endParaRPr lang="en-US" sz="900"/>
              </a:p>
            </c:rich>
          </c:tx>
          <c:layout>
            <c:manualLayout>
              <c:xMode val="edge"/>
              <c:yMode val="edge"/>
              <c:x val="0.47676918719539518"/>
              <c:y val="0.88585900240867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48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NUMBER OF </a:t>
                </a:r>
                <a:r>
                  <a:rPr lang="en-US" sz="1000"/>
                  <a:t>SCH</a:t>
                </a:r>
                <a:r>
                  <a:rPr lang="en-US" sz="900"/>
                  <a:t> TAUGHT</a:t>
                </a:r>
              </a:p>
            </c:rich>
          </c:tx>
          <c:layout>
            <c:manualLayout>
              <c:xMode val="edge"/>
              <c:yMode val="edge"/>
              <c:x val="2.1262658209256283E-2"/>
              <c:y val="0.154869761139172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3112"/>
        <c:crosses val="autoZero"/>
        <c:crossBetween val="between"/>
        <c:minorUnit val="2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435510287477538"/>
          <c:y val="5.3863069116288798E-2"/>
          <c:w val="0.81709990507308072"/>
          <c:h val="0.11698730694197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9525</xdr:colOff>
      <xdr:row>1</xdr:row>
      <xdr:rowOff>0</xdr:rowOff>
    </xdr:to>
    <xdr:sp macro="" textlink="">
      <xdr:nvSpPr>
        <xdr:cNvPr id="2" name="Text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61925"/>
          <a:ext cx="7534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Univers 75 Black"/>
          </a:endParaRPr>
        </a:p>
      </xdr:txBody>
    </xdr:sp>
    <xdr:clientData/>
  </xdr:twoCellAnchor>
  <xdr:twoCellAnchor editAs="absolute">
    <xdr:from>
      <xdr:col>0</xdr:col>
      <xdr:colOff>26634</xdr:colOff>
      <xdr:row>3</xdr:row>
      <xdr:rowOff>182667</xdr:rowOff>
    </xdr:from>
    <xdr:to>
      <xdr:col>10</xdr:col>
      <xdr:colOff>196767</xdr:colOff>
      <xdr:row>18</xdr:row>
      <xdr:rowOff>115303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6660</xdr:colOff>
      <xdr:row>0</xdr:row>
      <xdr:rowOff>56215</xdr:rowOff>
    </xdr:from>
    <xdr:to>
      <xdr:col>10</xdr:col>
      <xdr:colOff>559593</xdr:colOff>
      <xdr:row>0</xdr:row>
      <xdr:rowOff>186654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6660" y="56215"/>
          <a:ext cx="6565113" cy="130439"/>
          <a:chOff x="6660" y="56215"/>
          <a:chExt cx="6446527" cy="130439"/>
        </a:xfrm>
      </xdr:grpSpPr>
      <xdr:pic>
        <xdr:nvPicPr>
          <xdr:cNvPr id="5" name="Pictur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7727" y="56215"/>
            <a:ext cx="1047208" cy="89677"/>
          </a:xfrm>
          <a:prstGeom prst="rect">
            <a:avLst/>
          </a:prstGeom>
          <a:noFill/>
        </xdr:spPr>
      </xdr:pic>
      <xdr:sp macro="" textlink="">
        <xdr:nvSpPr>
          <xdr:cNvPr id="6" name="Lin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6660" y="186654"/>
            <a:ext cx="6446527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0</xdr:col>
      <xdr:colOff>11909</xdr:colOff>
      <xdr:row>19</xdr:row>
      <xdr:rowOff>214626</xdr:rowOff>
    </xdr:from>
    <xdr:to>
      <xdr:col>10</xdr:col>
      <xdr:colOff>301105</xdr:colOff>
      <xdr:row>39</xdr:row>
      <xdr:rowOff>29766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13787</xdr:colOff>
      <xdr:row>42</xdr:row>
      <xdr:rowOff>25065</xdr:rowOff>
    </xdr:from>
    <xdr:to>
      <xdr:col>10</xdr:col>
      <xdr:colOff>291076</xdr:colOff>
      <xdr:row>65</xdr:row>
      <xdr:rowOff>108003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272590</xdr:colOff>
      <xdr:row>9</xdr:row>
      <xdr:rowOff>264753</xdr:rowOff>
    </xdr:from>
    <xdr:to>
      <xdr:col>12</xdr:col>
      <xdr:colOff>272590</xdr:colOff>
      <xdr:row>66</xdr:row>
      <xdr:rowOff>111224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 rot="10800000">
          <a:off x="7135603" y="1758674"/>
          <a:ext cx="0" cy="744641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337758</xdr:colOff>
      <xdr:row>47</xdr:row>
      <xdr:rowOff>18485</xdr:rowOff>
    </xdr:from>
    <xdr:to>
      <xdr:col>20</xdr:col>
      <xdr:colOff>87726</xdr:colOff>
      <xdr:row>61</xdr:row>
      <xdr:rowOff>30393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7200771" y="6856432"/>
          <a:ext cx="4938587" cy="1626145"/>
        </a:xfrm>
        <a:prstGeom prst="rect">
          <a:avLst/>
        </a:prstGeom>
        <a:solidFill>
          <a:srgbClr val="FFC000">
            <a:alpha val="23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344976</xdr:colOff>
      <xdr:row>35</xdr:row>
      <xdr:rowOff>81152</xdr:rowOff>
    </xdr:from>
    <xdr:to>
      <xdr:col>24</xdr:col>
      <xdr:colOff>10973</xdr:colOff>
      <xdr:row>35</xdr:row>
      <xdr:rowOff>81152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 bwMode="auto">
        <a:xfrm rot="16200000">
          <a:off x="10898613" y="1694449"/>
          <a:ext cx="0" cy="738124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1219201</xdr:colOff>
      <xdr:row>6</xdr:row>
      <xdr:rowOff>11724</xdr:rowOff>
    </xdr:from>
    <xdr:to>
      <xdr:col>2</xdr:col>
      <xdr:colOff>574431</xdr:colOff>
      <xdr:row>7</xdr:row>
      <xdr:rowOff>70339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CF9B0E8-CA9F-4C74-B0CA-C32BB4A73910}"/>
            </a:ext>
          </a:extLst>
        </xdr:cNvPr>
        <xdr:cNvSpPr txBox="1"/>
      </xdr:nvSpPr>
      <xdr:spPr>
        <a:xfrm>
          <a:off x="1266093" y="1154724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460,676</a:t>
          </a:r>
          <a:r>
            <a:rPr lang="en-US" sz="800"/>
            <a:t> </a:t>
          </a:r>
        </a:p>
      </xdr:txBody>
    </xdr:sp>
    <xdr:clientData/>
  </xdr:twoCellAnchor>
  <xdr:twoCellAnchor>
    <xdr:from>
      <xdr:col>3</xdr:col>
      <xdr:colOff>64478</xdr:colOff>
      <xdr:row>6</xdr:row>
      <xdr:rowOff>11724</xdr:rowOff>
    </xdr:from>
    <xdr:to>
      <xdr:col>4</xdr:col>
      <xdr:colOff>146539</xdr:colOff>
      <xdr:row>7</xdr:row>
      <xdr:rowOff>70339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3F2F718-4972-47D1-ACD4-090F20BBC08C}"/>
            </a:ext>
          </a:extLst>
        </xdr:cNvPr>
        <xdr:cNvSpPr txBox="1"/>
      </xdr:nvSpPr>
      <xdr:spPr>
        <a:xfrm>
          <a:off x="2104293" y="1154724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457,588</a:t>
          </a:r>
          <a:r>
            <a:rPr lang="en-US" sz="800"/>
            <a:t> </a:t>
          </a:r>
        </a:p>
      </xdr:txBody>
    </xdr:sp>
    <xdr:clientData/>
  </xdr:twoCellAnchor>
  <xdr:twoCellAnchor>
    <xdr:from>
      <xdr:col>4</xdr:col>
      <xdr:colOff>416170</xdr:colOff>
      <xdr:row>6</xdr:row>
      <xdr:rowOff>46893</xdr:rowOff>
    </xdr:from>
    <xdr:to>
      <xdr:col>5</xdr:col>
      <xdr:colOff>398585</xdr:colOff>
      <xdr:row>7</xdr:row>
      <xdr:rowOff>105508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00D465D-B769-4927-927E-86F25652EBD4}"/>
            </a:ext>
          </a:extLst>
        </xdr:cNvPr>
        <xdr:cNvSpPr txBox="1"/>
      </xdr:nvSpPr>
      <xdr:spPr>
        <a:xfrm>
          <a:off x="2965939" y="1189893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450,314</a:t>
          </a:r>
          <a:r>
            <a:rPr lang="en-US" sz="800"/>
            <a:t> </a:t>
          </a:r>
        </a:p>
      </xdr:txBody>
    </xdr:sp>
    <xdr:clientData/>
  </xdr:twoCellAnchor>
  <xdr:twoCellAnchor>
    <xdr:from>
      <xdr:col>6</xdr:col>
      <xdr:colOff>158262</xdr:colOff>
      <xdr:row>6</xdr:row>
      <xdr:rowOff>105509</xdr:rowOff>
    </xdr:from>
    <xdr:to>
      <xdr:col>7</xdr:col>
      <xdr:colOff>263769</xdr:colOff>
      <xdr:row>8</xdr:row>
      <xdr:rowOff>46893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19AA5E8C-D4C8-4ED5-AB7D-BC455DC70724}"/>
            </a:ext>
          </a:extLst>
        </xdr:cNvPr>
        <xdr:cNvSpPr txBox="1"/>
      </xdr:nvSpPr>
      <xdr:spPr>
        <a:xfrm>
          <a:off x="3804139" y="1248509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429,911</a:t>
          </a:r>
          <a:r>
            <a:rPr lang="en-US" sz="800"/>
            <a:t> </a:t>
          </a:r>
        </a:p>
      </xdr:txBody>
    </xdr:sp>
    <xdr:clientData/>
  </xdr:twoCellAnchor>
  <xdr:twoCellAnchor>
    <xdr:from>
      <xdr:col>7</xdr:col>
      <xdr:colOff>515815</xdr:colOff>
      <xdr:row>7</xdr:row>
      <xdr:rowOff>76201</xdr:rowOff>
    </xdr:from>
    <xdr:to>
      <xdr:col>8</xdr:col>
      <xdr:colOff>498230</xdr:colOff>
      <xdr:row>9</xdr:row>
      <xdr:rowOff>17586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5466097-33BC-4063-BCCA-F7F6BECFB48C}"/>
            </a:ext>
          </a:extLst>
        </xdr:cNvPr>
        <xdr:cNvSpPr txBox="1"/>
      </xdr:nvSpPr>
      <xdr:spPr>
        <a:xfrm>
          <a:off x="4648200" y="1336432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402,785</a:t>
          </a:r>
          <a:r>
            <a:rPr lang="en-US" sz="800"/>
            <a:t>  </a:t>
          </a:r>
        </a:p>
      </xdr:txBody>
    </xdr:sp>
    <xdr:clientData/>
  </xdr:twoCellAnchor>
  <xdr:twoCellAnchor>
    <xdr:from>
      <xdr:col>9</xdr:col>
      <xdr:colOff>35170</xdr:colOff>
      <xdr:row>8</xdr:row>
      <xdr:rowOff>35170</xdr:rowOff>
    </xdr:from>
    <xdr:to>
      <xdr:col>10</xdr:col>
      <xdr:colOff>76200</xdr:colOff>
      <xdr:row>9</xdr:row>
      <xdr:rowOff>93786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D2C28302-384C-456F-9FB7-9BCC5B4E33C3}"/>
            </a:ext>
          </a:extLst>
        </xdr:cNvPr>
        <xdr:cNvSpPr txBox="1"/>
      </xdr:nvSpPr>
      <xdr:spPr>
        <a:xfrm>
          <a:off x="5503985" y="1412632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379,699</a:t>
          </a:r>
          <a:r>
            <a:rPr lang="en-US" sz="800"/>
            <a:t>   </a:t>
          </a:r>
        </a:p>
      </xdr:txBody>
    </xdr:sp>
    <xdr:clientData/>
  </xdr:twoCellAnchor>
  <xdr:twoCellAnchor>
    <xdr:from>
      <xdr:col>1</xdr:col>
      <xdr:colOff>1207478</xdr:colOff>
      <xdr:row>23</xdr:row>
      <xdr:rowOff>128955</xdr:rowOff>
    </xdr:from>
    <xdr:to>
      <xdr:col>2</xdr:col>
      <xdr:colOff>562708</xdr:colOff>
      <xdr:row>25</xdr:row>
      <xdr:rowOff>17585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4FBCF81-3F60-4EB2-8BFF-E75B4027DE1C}"/>
            </a:ext>
          </a:extLst>
        </xdr:cNvPr>
        <xdr:cNvSpPr txBox="1"/>
      </xdr:nvSpPr>
      <xdr:spPr>
        <a:xfrm>
          <a:off x="1254370" y="3921370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429,302</a:t>
          </a:r>
          <a:r>
            <a:rPr lang="en-US" sz="800"/>
            <a:t>  </a:t>
          </a:r>
        </a:p>
      </xdr:txBody>
    </xdr:sp>
    <xdr:clientData/>
  </xdr:twoCellAnchor>
  <xdr:twoCellAnchor>
    <xdr:from>
      <xdr:col>3</xdr:col>
      <xdr:colOff>52755</xdr:colOff>
      <xdr:row>23</xdr:row>
      <xdr:rowOff>117232</xdr:rowOff>
    </xdr:from>
    <xdr:to>
      <xdr:col>4</xdr:col>
      <xdr:colOff>134816</xdr:colOff>
      <xdr:row>25</xdr:row>
      <xdr:rowOff>5862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0DCAAE6-5BE7-4624-B0E4-072C2416C140}"/>
            </a:ext>
          </a:extLst>
        </xdr:cNvPr>
        <xdr:cNvSpPr txBox="1"/>
      </xdr:nvSpPr>
      <xdr:spPr>
        <a:xfrm>
          <a:off x="2092570" y="3909647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431,450</a:t>
          </a:r>
          <a:r>
            <a:rPr lang="en-US" sz="800"/>
            <a:t>  </a:t>
          </a:r>
        </a:p>
      </xdr:txBody>
    </xdr:sp>
    <xdr:clientData/>
  </xdr:twoCellAnchor>
  <xdr:twoCellAnchor>
    <xdr:from>
      <xdr:col>4</xdr:col>
      <xdr:colOff>404447</xdr:colOff>
      <xdr:row>23</xdr:row>
      <xdr:rowOff>152401</xdr:rowOff>
    </xdr:from>
    <xdr:to>
      <xdr:col>5</xdr:col>
      <xdr:colOff>386862</xdr:colOff>
      <xdr:row>25</xdr:row>
      <xdr:rowOff>41031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32E2338-71B8-4790-8F89-3B955658B4FB}"/>
            </a:ext>
          </a:extLst>
        </xdr:cNvPr>
        <xdr:cNvSpPr txBox="1"/>
      </xdr:nvSpPr>
      <xdr:spPr>
        <a:xfrm>
          <a:off x="2954216" y="3944816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421,383</a:t>
          </a:r>
          <a:r>
            <a:rPr lang="en-US" sz="800"/>
            <a:t>  </a:t>
          </a:r>
        </a:p>
      </xdr:txBody>
    </xdr:sp>
    <xdr:clientData/>
  </xdr:twoCellAnchor>
  <xdr:twoCellAnchor>
    <xdr:from>
      <xdr:col>6</xdr:col>
      <xdr:colOff>140677</xdr:colOff>
      <xdr:row>24</xdr:row>
      <xdr:rowOff>11724</xdr:rowOff>
    </xdr:from>
    <xdr:to>
      <xdr:col>7</xdr:col>
      <xdr:colOff>246184</xdr:colOff>
      <xdr:row>25</xdr:row>
      <xdr:rowOff>70339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F43EA70-0D51-4FCD-989D-96B52BBCD210}"/>
            </a:ext>
          </a:extLst>
        </xdr:cNvPr>
        <xdr:cNvSpPr txBox="1"/>
      </xdr:nvSpPr>
      <xdr:spPr>
        <a:xfrm>
          <a:off x="3786554" y="3974124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410,116</a:t>
          </a:r>
          <a:r>
            <a:rPr lang="en-US" sz="800"/>
            <a:t>  </a:t>
          </a:r>
        </a:p>
      </xdr:txBody>
    </xdr:sp>
    <xdr:clientData/>
  </xdr:twoCellAnchor>
  <xdr:twoCellAnchor>
    <xdr:from>
      <xdr:col>7</xdr:col>
      <xdr:colOff>509953</xdr:colOff>
      <xdr:row>24</xdr:row>
      <xdr:rowOff>58616</xdr:rowOff>
    </xdr:from>
    <xdr:to>
      <xdr:col>8</xdr:col>
      <xdr:colOff>492368</xdr:colOff>
      <xdr:row>26</xdr:row>
      <xdr:rowOff>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DC728F0A-9841-4C0B-ABC6-C45BFCB62F4D}"/>
            </a:ext>
          </a:extLst>
        </xdr:cNvPr>
        <xdr:cNvSpPr txBox="1"/>
      </xdr:nvSpPr>
      <xdr:spPr>
        <a:xfrm>
          <a:off x="4642338" y="4021016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397,832</a:t>
          </a:r>
          <a:r>
            <a:rPr lang="en-US" sz="800"/>
            <a:t>   </a:t>
          </a:r>
        </a:p>
      </xdr:txBody>
    </xdr:sp>
    <xdr:clientData/>
  </xdr:twoCellAnchor>
  <xdr:twoCellAnchor>
    <xdr:from>
      <xdr:col>9</xdr:col>
      <xdr:colOff>11724</xdr:colOff>
      <xdr:row>25</xdr:row>
      <xdr:rowOff>5862</xdr:rowOff>
    </xdr:from>
    <xdr:to>
      <xdr:col>10</xdr:col>
      <xdr:colOff>52754</xdr:colOff>
      <xdr:row>26</xdr:row>
      <xdr:rowOff>64477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172430EE-8D1E-47D8-9482-51F30D11DB41}"/>
            </a:ext>
          </a:extLst>
        </xdr:cNvPr>
        <xdr:cNvSpPr txBox="1"/>
      </xdr:nvSpPr>
      <xdr:spPr>
        <a:xfrm>
          <a:off x="5480539" y="4085493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378,987</a:t>
          </a:r>
          <a:r>
            <a:rPr lang="en-US" sz="800"/>
            <a:t>    </a:t>
          </a:r>
        </a:p>
      </xdr:txBody>
    </xdr:sp>
    <xdr:clientData/>
  </xdr:twoCellAnchor>
  <xdr:twoCellAnchor>
    <xdr:from>
      <xdr:col>1</xdr:col>
      <xdr:colOff>1213339</xdr:colOff>
      <xdr:row>45</xdr:row>
      <xdr:rowOff>11724</xdr:rowOff>
    </xdr:from>
    <xdr:to>
      <xdr:col>2</xdr:col>
      <xdr:colOff>568569</xdr:colOff>
      <xdr:row>46</xdr:row>
      <xdr:rowOff>70339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1A4CF332-1788-4980-BD3F-F28CCDE1D734}"/>
            </a:ext>
          </a:extLst>
        </xdr:cNvPr>
        <xdr:cNvSpPr txBox="1"/>
      </xdr:nvSpPr>
      <xdr:spPr>
        <a:xfrm>
          <a:off x="1260231" y="6617678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930,668</a:t>
          </a:r>
          <a:r>
            <a:rPr lang="en-US" sz="800"/>
            <a:t> </a:t>
          </a:r>
        </a:p>
      </xdr:txBody>
    </xdr:sp>
    <xdr:clientData/>
  </xdr:twoCellAnchor>
  <xdr:twoCellAnchor>
    <xdr:from>
      <xdr:col>3</xdr:col>
      <xdr:colOff>52755</xdr:colOff>
      <xdr:row>45</xdr:row>
      <xdr:rowOff>1</xdr:rowOff>
    </xdr:from>
    <xdr:to>
      <xdr:col>4</xdr:col>
      <xdr:colOff>134816</xdr:colOff>
      <xdr:row>46</xdr:row>
      <xdr:rowOff>58616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9B0813A-E813-41C5-AB16-E1CA6C0483CF}"/>
            </a:ext>
          </a:extLst>
        </xdr:cNvPr>
        <xdr:cNvSpPr txBox="1"/>
      </xdr:nvSpPr>
      <xdr:spPr>
        <a:xfrm>
          <a:off x="2092570" y="6605955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936,315</a:t>
          </a:r>
          <a:r>
            <a:rPr lang="en-US" sz="800"/>
            <a:t>  </a:t>
          </a:r>
        </a:p>
      </xdr:txBody>
    </xdr:sp>
    <xdr:clientData/>
  </xdr:twoCellAnchor>
  <xdr:twoCellAnchor>
    <xdr:from>
      <xdr:col>4</xdr:col>
      <xdr:colOff>392724</xdr:colOff>
      <xdr:row>45</xdr:row>
      <xdr:rowOff>29308</xdr:rowOff>
    </xdr:from>
    <xdr:to>
      <xdr:col>5</xdr:col>
      <xdr:colOff>375139</xdr:colOff>
      <xdr:row>46</xdr:row>
      <xdr:rowOff>87923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B21B7219-221A-4E50-B35F-B263E1B461CF}"/>
            </a:ext>
          </a:extLst>
        </xdr:cNvPr>
        <xdr:cNvSpPr txBox="1"/>
      </xdr:nvSpPr>
      <xdr:spPr>
        <a:xfrm>
          <a:off x="2942493" y="6635262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920,935</a:t>
          </a:r>
          <a:r>
            <a:rPr lang="en-US" sz="800"/>
            <a:t>  </a:t>
          </a:r>
        </a:p>
      </xdr:txBody>
    </xdr:sp>
    <xdr:clientData/>
  </xdr:twoCellAnchor>
  <xdr:twoCellAnchor>
    <xdr:from>
      <xdr:col>6</xdr:col>
      <xdr:colOff>140677</xdr:colOff>
      <xdr:row>45</xdr:row>
      <xdr:rowOff>64479</xdr:rowOff>
    </xdr:from>
    <xdr:to>
      <xdr:col>7</xdr:col>
      <xdr:colOff>246184</xdr:colOff>
      <xdr:row>47</xdr:row>
      <xdr:rowOff>5864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DD71155-D5CA-4E75-AD2B-8974E76A4E17}"/>
            </a:ext>
          </a:extLst>
        </xdr:cNvPr>
        <xdr:cNvSpPr txBox="1"/>
      </xdr:nvSpPr>
      <xdr:spPr>
        <a:xfrm>
          <a:off x="3786554" y="6670433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900,380</a:t>
          </a:r>
          <a:r>
            <a:rPr lang="en-US" sz="800"/>
            <a:t>  </a:t>
          </a:r>
        </a:p>
      </xdr:txBody>
    </xdr:sp>
    <xdr:clientData/>
  </xdr:twoCellAnchor>
  <xdr:twoCellAnchor>
    <xdr:from>
      <xdr:col>7</xdr:col>
      <xdr:colOff>509953</xdr:colOff>
      <xdr:row>46</xdr:row>
      <xdr:rowOff>11724</xdr:rowOff>
    </xdr:from>
    <xdr:to>
      <xdr:col>8</xdr:col>
      <xdr:colOff>492368</xdr:colOff>
      <xdr:row>47</xdr:row>
      <xdr:rowOff>70340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EADF8C77-5349-45DE-B467-B08AFD8A1693}"/>
            </a:ext>
          </a:extLst>
        </xdr:cNvPr>
        <xdr:cNvSpPr txBox="1"/>
      </xdr:nvSpPr>
      <xdr:spPr>
        <a:xfrm>
          <a:off x="4642338" y="6734909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864,940</a:t>
          </a:r>
          <a:r>
            <a:rPr lang="en-US" sz="800"/>
            <a:t>   </a:t>
          </a:r>
        </a:p>
      </xdr:txBody>
    </xdr:sp>
    <xdr:clientData/>
  </xdr:twoCellAnchor>
  <xdr:twoCellAnchor>
    <xdr:from>
      <xdr:col>9</xdr:col>
      <xdr:colOff>5862</xdr:colOff>
      <xdr:row>46</xdr:row>
      <xdr:rowOff>87924</xdr:rowOff>
    </xdr:from>
    <xdr:to>
      <xdr:col>10</xdr:col>
      <xdr:colOff>46892</xdr:colOff>
      <xdr:row>48</xdr:row>
      <xdr:rowOff>29309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1CDC126D-45FE-47A3-A5A4-C420812FCB64}"/>
            </a:ext>
          </a:extLst>
        </xdr:cNvPr>
        <xdr:cNvSpPr txBox="1"/>
      </xdr:nvSpPr>
      <xdr:spPr>
        <a:xfrm>
          <a:off x="5474677" y="6811109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819,413</a:t>
          </a:r>
          <a:r>
            <a:rPr lang="en-US" sz="800"/>
            <a:t>   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0.20049</cdr:x>
      <cdr:y>0.2148</cdr:y>
    </cdr:from>
    <cdr:to>
      <cdr:x>0.98584</cdr:x>
      <cdr:y>0.74997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116019CA-36EB-4D77-AE24-A4FEA43DDE13}"/>
            </a:ext>
          </a:extLst>
        </cdr:cNvPr>
        <cdr:cNvGrpSpPr/>
      </cdr:nvGrpSpPr>
      <cdr:grpSpPr>
        <a:xfrm xmlns:a="http://schemas.openxmlformats.org/drawingml/2006/main">
          <a:off x="1239492" y="465106"/>
          <a:ext cx="4855279" cy="1158801"/>
          <a:chOff x="1545099" y="1027929"/>
          <a:chExt cx="6052192" cy="2611877"/>
        </a:xfrm>
      </cdr:grpSpPr>
      <cdr:sp macro="" textlink="">
        <cdr:nvSpPr>
          <cdr:cNvPr id="16422" name="Text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662114" y="3291370"/>
            <a:ext cx="750790" cy="28752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49%</a:t>
            </a:r>
          </a:p>
        </cdr:txBody>
      </cdr:sp>
      <cdr:sp macro="" textlink="">
        <cdr:nvSpPr>
          <cdr:cNvPr id="16429" name="Text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30015" y="1929096"/>
            <a:ext cx="724144" cy="3700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40%</a:t>
            </a:r>
          </a:p>
        </cdr:txBody>
      </cdr:sp>
      <cdr:sp macro="" textlink="">
        <cdr:nvSpPr>
          <cdr:cNvPr id="16440" name="Text 2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590367" y="1027929"/>
            <a:ext cx="740708" cy="29613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11%</a:t>
            </a:r>
          </a:p>
        </cdr:txBody>
      </cdr:sp>
      <cdr:sp macro="" textlink="">
        <cdr:nvSpPr>
          <cdr:cNvPr id="16441" name="Text 2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633803" y="1942543"/>
            <a:ext cx="724146" cy="35194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40%</a:t>
            </a:r>
          </a:p>
        </cdr:txBody>
      </cdr:sp>
      <cdr:sp macro="" textlink="">
        <cdr:nvSpPr>
          <cdr:cNvPr id="16444" name="Text 3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609725" y="3224140"/>
            <a:ext cx="731540" cy="41566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49%</a:t>
            </a:r>
          </a:p>
        </cdr:txBody>
      </cdr:sp>
      <cdr:sp macro="" textlink="">
        <cdr:nvSpPr>
          <cdr:cNvPr id="16446" name="Text 3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678097" y="1996320"/>
            <a:ext cx="708901" cy="28234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40%</a:t>
            </a:r>
          </a:p>
        </cdr:txBody>
      </cdr:sp>
      <cdr:sp macro="" textlink="">
        <cdr:nvSpPr>
          <cdr:cNvPr id="16447" name="Text 3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676142" y="1048421"/>
            <a:ext cx="747014" cy="3361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11%</a:t>
            </a:r>
          </a:p>
        </cdr:txBody>
      </cdr:sp>
      <cdr:sp macro="" textlink="">
        <cdr:nvSpPr>
          <cdr:cNvPr id="16448" name="Text 4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781930" y="1969429"/>
            <a:ext cx="747013" cy="29578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41%</a:t>
            </a:r>
          </a:p>
        </cdr:txBody>
      </cdr:sp>
      <cdr:sp macro="" textlink="">
        <cdr:nvSpPr>
          <cdr:cNvPr id="16452" name="Text 4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42520" y="1187259"/>
            <a:ext cx="695833" cy="34957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12%</a:t>
            </a:r>
          </a:p>
        </cdr:txBody>
      </cdr:sp>
      <cdr:sp macro="" textlink="">
        <cdr:nvSpPr>
          <cdr:cNvPr id="16462" name="Text Box 7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64206" y="3291368"/>
            <a:ext cx="733085" cy="3236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47%</a:t>
            </a:r>
          </a:p>
        </cdr:txBody>
      </cdr:sp>
      <cdr:sp macro="" textlink="">
        <cdr:nvSpPr>
          <cdr:cNvPr id="16463" name="Text Box 7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08088" y="3280161"/>
            <a:ext cx="725123" cy="2863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48%</a:t>
            </a:r>
          </a:p>
        </cdr:txBody>
      </cdr:sp>
      <cdr:sp macro="" textlink="">
        <cdr:nvSpPr>
          <cdr:cNvPr id="16464" name="Text Box 8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6225" y="1969432"/>
            <a:ext cx="756643" cy="2688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41%</a:t>
            </a:r>
          </a:p>
        </cdr:txBody>
      </cdr:sp>
      <cdr:sp macro="" textlink="">
        <cdr:nvSpPr>
          <cdr:cNvPr id="16468" name="Text Box 8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773314" y="3246547"/>
            <a:ext cx="718706" cy="3397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48%</a:t>
            </a:r>
          </a:p>
        </cdr:txBody>
      </cdr:sp>
      <cdr:sp macro="" textlink="">
        <cdr:nvSpPr>
          <cdr:cNvPr id="16457" name="Text 4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547388" y="3260133"/>
            <a:ext cx="747013" cy="32556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50%</a:t>
            </a:r>
          </a:p>
        </cdr:txBody>
      </cdr:sp>
      <cdr:sp macro="" textlink="">
        <cdr:nvSpPr>
          <cdr:cNvPr id="16459" name="Text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581887" y="1929096"/>
            <a:ext cx="716519" cy="36280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38%</a:t>
            </a:r>
          </a:p>
        </cdr:txBody>
      </cdr:sp>
      <cdr:sp macro="" textlink="">
        <cdr:nvSpPr>
          <cdr:cNvPr id="16460" name="Text 4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545099" y="1028280"/>
            <a:ext cx="764549" cy="26224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12%</a:t>
            </a:r>
          </a:p>
        </cdr:txBody>
      </cdr:sp>
      <cdr:sp macro="" textlink="">
        <cdr:nvSpPr>
          <cdr:cNvPr id="32" name="Text Box 8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761944" y="1346355"/>
            <a:ext cx="777503" cy="37645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11%</a:t>
            </a:r>
          </a:p>
        </cdr:txBody>
      </cdr:sp>
      <cdr:sp macro="" textlink="">
        <cdr:nvSpPr>
          <cdr:cNvPr id="33" name="Text Box 8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44350" y="1548026"/>
            <a:ext cx="724145" cy="3092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12%</a:t>
            </a:r>
          </a:p>
        </cdr:txBody>
      </cdr:sp>
    </cdr:grpSp>
  </cdr:relSizeAnchor>
  <cdr:relSizeAnchor xmlns:cdr="http://schemas.openxmlformats.org/drawingml/2006/chartDrawing">
    <cdr:from>
      <cdr:x>0.16498</cdr:x>
      <cdr:y>0.16218</cdr:y>
    </cdr:from>
    <cdr:to>
      <cdr:x>0.28003</cdr:x>
      <cdr:y>0.34838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1242" y="7964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0.33121</cdr:x>
      <cdr:y>0.70489</cdr:y>
    </cdr:from>
    <cdr:to>
      <cdr:x>0.42756</cdr:x>
      <cdr:y>0.75926</cdr:y>
    </cdr:to>
    <cdr:sp macro="" textlink="">
      <cdr:nvSpPr>
        <cdr:cNvPr id="1642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3459" y="1735498"/>
          <a:ext cx="591553" cy="1338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49%</a:t>
          </a:r>
        </a:p>
      </cdr:txBody>
    </cdr:sp>
  </cdr:relSizeAnchor>
  <cdr:relSizeAnchor xmlns:cdr="http://schemas.openxmlformats.org/drawingml/2006/chartDrawing">
    <cdr:from>
      <cdr:x>0.46593</cdr:x>
      <cdr:y>0.45444</cdr:y>
    </cdr:from>
    <cdr:to>
      <cdr:x>0.56065</cdr:x>
      <cdr:y>0.5196</cdr:y>
    </cdr:to>
    <cdr:sp macro="" textlink="">
      <cdr:nvSpPr>
        <cdr:cNvPr id="16429" name="Text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0621" y="1118880"/>
          <a:ext cx="581521" cy="160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40%</a:t>
          </a:r>
        </a:p>
      </cdr:txBody>
    </cdr:sp>
  </cdr:relSizeAnchor>
  <cdr:relSizeAnchor xmlns:cdr="http://schemas.openxmlformats.org/drawingml/2006/chartDrawing">
    <cdr:from>
      <cdr:x>0.19893</cdr:x>
      <cdr:y>0.29766</cdr:y>
    </cdr:from>
    <cdr:to>
      <cdr:x>0.29446</cdr:x>
      <cdr:y>0.35671</cdr:y>
    </cdr:to>
    <cdr:sp macro="" textlink="">
      <cdr:nvSpPr>
        <cdr:cNvPr id="16440" name="Text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1334" y="732870"/>
          <a:ext cx="586535" cy="145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 pitchFamily="34" charset="0"/>
            </a:rPr>
            <a:t>12%</a:t>
          </a:r>
        </a:p>
      </cdr:txBody>
    </cdr:sp>
  </cdr:relSizeAnchor>
  <cdr:relSizeAnchor xmlns:cdr="http://schemas.openxmlformats.org/drawingml/2006/chartDrawing">
    <cdr:from>
      <cdr:x>0.19566</cdr:x>
      <cdr:y>0.45852</cdr:y>
    </cdr:from>
    <cdr:to>
      <cdr:x>0.29283</cdr:x>
      <cdr:y>0.51553</cdr:y>
    </cdr:to>
    <cdr:sp macro="" textlink="">
      <cdr:nvSpPr>
        <cdr:cNvPr id="16441" name="Text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1276" y="1128906"/>
          <a:ext cx="596566" cy="140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37%</a:t>
          </a:r>
        </a:p>
      </cdr:txBody>
    </cdr:sp>
  </cdr:relSizeAnchor>
  <cdr:relSizeAnchor xmlns:cdr="http://schemas.openxmlformats.org/drawingml/2006/chartDrawing">
    <cdr:from>
      <cdr:x>0.19403</cdr:x>
      <cdr:y>0.70082</cdr:y>
    </cdr:from>
    <cdr:to>
      <cdr:x>0.2863</cdr:x>
      <cdr:y>0.76421</cdr:y>
    </cdr:to>
    <cdr:sp macro="" textlink="">
      <cdr:nvSpPr>
        <cdr:cNvPr id="16444" name="Text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1255" y="1725470"/>
          <a:ext cx="566481" cy="1560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51%</a:t>
          </a:r>
        </a:p>
      </cdr:txBody>
    </cdr:sp>
  </cdr:relSizeAnchor>
  <cdr:relSizeAnchor xmlns:cdr="http://schemas.openxmlformats.org/drawingml/2006/chartDrawing">
    <cdr:from>
      <cdr:x>0.33447</cdr:x>
      <cdr:y>0.45852</cdr:y>
    </cdr:from>
    <cdr:to>
      <cdr:x>0.42184</cdr:x>
      <cdr:y>0.51279</cdr:y>
    </cdr:to>
    <cdr:sp macro="" textlink="">
      <cdr:nvSpPr>
        <cdr:cNvPr id="16446" name="Text 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53508" y="1128907"/>
          <a:ext cx="536404" cy="133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40%</a:t>
          </a:r>
        </a:p>
      </cdr:txBody>
    </cdr:sp>
  </cdr:relSizeAnchor>
  <cdr:relSizeAnchor xmlns:cdr="http://schemas.openxmlformats.org/drawingml/2006/chartDrawing">
    <cdr:from>
      <cdr:x>0.33039</cdr:x>
      <cdr:y>0.28748</cdr:y>
    </cdr:from>
    <cdr:to>
      <cdr:x>0.42674</cdr:x>
      <cdr:y>0.35264</cdr:y>
    </cdr:to>
    <cdr:sp macro="" textlink="">
      <cdr:nvSpPr>
        <cdr:cNvPr id="16447" name="Text 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8447" y="707796"/>
          <a:ext cx="591552" cy="160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 pitchFamily="34" charset="0"/>
            </a:rPr>
            <a:t>11%</a:t>
          </a:r>
        </a:p>
      </cdr:txBody>
    </cdr:sp>
  </cdr:relSizeAnchor>
  <cdr:relSizeAnchor xmlns:cdr="http://schemas.openxmlformats.org/drawingml/2006/chartDrawing">
    <cdr:from>
      <cdr:x>0.59821</cdr:x>
      <cdr:y>0.45852</cdr:y>
    </cdr:from>
    <cdr:to>
      <cdr:x>0.69211</cdr:x>
      <cdr:y>0.51714</cdr:y>
    </cdr:to>
    <cdr:sp macro="" textlink="">
      <cdr:nvSpPr>
        <cdr:cNvPr id="16448" name="Text 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2745" y="1128907"/>
          <a:ext cx="576508" cy="14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41%</a:t>
          </a:r>
        </a:p>
      </cdr:txBody>
    </cdr:sp>
  </cdr:relSizeAnchor>
  <cdr:relSizeAnchor xmlns:cdr="http://schemas.openxmlformats.org/drawingml/2006/chartDrawing">
    <cdr:from>
      <cdr:x>0.46593</cdr:x>
      <cdr:y>0.29969</cdr:y>
    </cdr:from>
    <cdr:to>
      <cdr:x>0.56229</cdr:x>
      <cdr:y>0.36485</cdr:y>
    </cdr:to>
    <cdr:sp macro="" textlink="">
      <cdr:nvSpPr>
        <cdr:cNvPr id="16452" name="Text 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0630" y="737874"/>
          <a:ext cx="591553" cy="160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 pitchFamily="34" charset="0"/>
            </a:rPr>
            <a:t>12%</a:t>
          </a:r>
        </a:p>
      </cdr:txBody>
    </cdr:sp>
  </cdr:relSizeAnchor>
  <cdr:relSizeAnchor xmlns:cdr="http://schemas.openxmlformats.org/drawingml/2006/chartDrawing">
    <cdr:from>
      <cdr:x>0.87093</cdr:x>
      <cdr:y>0.69878</cdr:y>
    </cdr:from>
    <cdr:to>
      <cdr:x>0.9632</cdr:x>
      <cdr:y>0.7601</cdr:y>
    </cdr:to>
    <cdr:sp macro="" textlink="">
      <cdr:nvSpPr>
        <cdr:cNvPr id="16462" name="Text Box 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7134" y="1720457"/>
          <a:ext cx="566482" cy="15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44%</a:t>
          </a:r>
        </a:p>
      </cdr:txBody>
    </cdr:sp>
  </cdr:relSizeAnchor>
  <cdr:relSizeAnchor xmlns:cdr="http://schemas.openxmlformats.org/drawingml/2006/chartDrawing">
    <cdr:from>
      <cdr:x>0.46512</cdr:x>
      <cdr:y>0.70285</cdr:y>
    </cdr:from>
    <cdr:to>
      <cdr:x>0.55984</cdr:x>
      <cdr:y>0.76323</cdr:y>
    </cdr:to>
    <cdr:sp macro="" textlink="">
      <cdr:nvSpPr>
        <cdr:cNvPr id="16463" name="Text Box 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5617" y="1730483"/>
          <a:ext cx="581527" cy="1486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48%</a:t>
          </a:r>
        </a:p>
      </cdr:txBody>
    </cdr:sp>
  </cdr:relSizeAnchor>
  <cdr:relSizeAnchor xmlns:cdr="http://schemas.openxmlformats.org/drawingml/2006/chartDrawing">
    <cdr:from>
      <cdr:x>0.86848</cdr:x>
      <cdr:y>0.45852</cdr:y>
    </cdr:from>
    <cdr:to>
      <cdr:x>0.96238</cdr:x>
      <cdr:y>0.51958</cdr:y>
    </cdr:to>
    <cdr:sp macro="" textlink="">
      <cdr:nvSpPr>
        <cdr:cNvPr id="16464" name="Text Box 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2093" y="1128909"/>
          <a:ext cx="576508" cy="150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44%</a:t>
          </a:r>
        </a:p>
      </cdr:txBody>
    </cdr:sp>
  </cdr:relSizeAnchor>
  <cdr:relSizeAnchor xmlns:cdr="http://schemas.openxmlformats.org/drawingml/2006/chartDrawing">
    <cdr:from>
      <cdr:x>0.59821</cdr:x>
      <cdr:y>0.70285</cdr:y>
    </cdr:from>
    <cdr:to>
      <cdr:x>0.69701</cdr:x>
      <cdr:y>0.76126</cdr:y>
    </cdr:to>
    <cdr:sp macro="" textlink="">
      <cdr:nvSpPr>
        <cdr:cNvPr id="16468" name="Text Box 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2763" y="1730484"/>
          <a:ext cx="606570" cy="14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47%</a:t>
          </a:r>
        </a:p>
      </cdr:txBody>
    </cdr:sp>
  </cdr:relSizeAnchor>
  <cdr:relSizeAnchor xmlns:cdr="http://schemas.openxmlformats.org/drawingml/2006/chartDrawing">
    <cdr:from>
      <cdr:x>0.73457</cdr:x>
      <cdr:y>0.70692</cdr:y>
    </cdr:from>
    <cdr:to>
      <cdr:x>0.82929</cdr:x>
      <cdr:y>0.75783</cdr:y>
    </cdr:to>
    <cdr:sp macro="" textlink="">
      <cdr:nvSpPr>
        <cdr:cNvPr id="16457" name="Text 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9959" y="1740508"/>
          <a:ext cx="581526" cy="125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45%</a:t>
          </a:r>
        </a:p>
      </cdr:txBody>
    </cdr:sp>
  </cdr:relSizeAnchor>
  <cdr:relSizeAnchor xmlns:cdr="http://schemas.openxmlformats.org/drawingml/2006/chartDrawing">
    <cdr:from>
      <cdr:x>0.73376</cdr:x>
      <cdr:y>0.45241</cdr:y>
    </cdr:from>
    <cdr:to>
      <cdr:x>0.82929</cdr:x>
      <cdr:y>0.52236</cdr:y>
    </cdr:to>
    <cdr:sp macro="" textlink="">
      <cdr:nvSpPr>
        <cdr:cNvPr id="16459" name="Text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4947" y="1113870"/>
          <a:ext cx="586540" cy="172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42%</a:t>
          </a:r>
        </a:p>
      </cdr:txBody>
    </cdr:sp>
  </cdr:relSizeAnchor>
  <cdr:relSizeAnchor xmlns:cdr="http://schemas.openxmlformats.org/drawingml/2006/chartDrawing">
    <cdr:from>
      <cdr:x>0.59985</cdr:x>
      <cdr:y>0.31599</cdr:y>
    </cdr:from>
    <cdr:to>
      <cdr:x>0.6962</cdr:x>
      <cdr:y>0.38114</cdr:y>
    </cdr:to>
    <cdr:sp macro="" textlink="">
      <cdr:nvSpPr>
        <cdr:cNvPr id="16460" name="Text 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82799" y="777988"/>
          <a:ext cx="591548" cy="160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 pitchFamily="34" charset="0"/>
            </a:rPr>
            <a:t>12%</a:t>
          </a:r>
        </a:p>
      </cdr:txBody>
    </cdr:sp>
  </cdr:relSizeAnchor>
  <cdr:relSizeAnchor xmlns:cdr="http://schemas.openxmlformats.org/drawingml/2006/chartDrawing">
    <cdr:from>
      <cdr:x>0.73457</cdr:x>
      <cdr:y>0.33635</cdr:y>
    </cdr:from>
    <cdr:to>
      <cdr:x>0.82766</cdr:x>
      <cdr:y>0.3954</cdr:y>
    </cdr:to>
    <cdr:sp macro="" textlink="">
      <cdr:nvSpPr>
        <cdr:cNvPr id="32" name="Text Box 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9943" y="828119"/>
          <a:ext cx="571495" cy="145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 pitchFamily="34" charset="0"/>
            </a:rPr>
            <a:t>13%</a:t>
          </a:r>
        </a:p>
      </cdr:txBody>
    </cdr:sp>
  </cdr:relSizeAnchor>
  <cdr:relSizeAnchor xmlns:cdr="http://schemas.openxmlformats.org/drawingml/2006/chartDrawing">
    <cdr:from>
      <cdr:x>0.86767</cdr:x>
      <cdr:y>0.35668</cdr:y>
    </cdr:from>
    <cdr:to>
      <cdr:x>0.96238</cdr:x>
      <cdr:y>0.41168</cdr:y>
    </cdr:to>
    <cdr:sp macro="" textlink="">
      <cdr:nvSpPr>
        <cdr:cNvPr id="33" name="Text Box 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7081" y="878187"/>
          <a:ext cx="581521" cy="1354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 pitchFamily="34" charset="0"/>
            </a:rPr>
            <a:t>12%</a:t>
          </a:r>
        </a:p>
      </cdr:txBody>
    </cdr:sp>
  </cdr:relSizeAnchor>
  <cdr:relSizeAnchor xmlns:cdr="http://schemas.openxmlformats.org/drawingml/2006/chartDrawing">
    <cdr:from>
      <cdr:x>0.16498</cdr:x>
      <cdr:y>0.16218</cdr:y>
    </cdr:from>
    <cdr:to>
      <cdr:x>0.28003</cdr:x>
      <cdr:y>0.34838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1242" y="7964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0.19901</cdr:x>
      <cdr:y>0.2108</cdr:y>
    </cdr:from>
    <cdr:to>
      <cdr:x>0.96477</cdr:x>
      <cdr:y>0.68155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A43C7E63-3D73-46FB-8E70-3F35E9746E3D}"/>
            </a:ext>
          </a:extLst>
        </cdr:cNvPr>
        <cdr:cNvGrpSpPr/>
      </cdr:nvGrpSpPr>
      <cdr:grpSpPr>
        <a:xfrm xmlns:a="http://schemas.openxmlformats.org/drawingml/2006/main">
          <a:off x="1251667" y="566837"/>
          <a:ext cx="4816224" cy="1265836"/>
          <a:chOff x="1735402" y="1041145"/>
          <a:chExt cx="5901291" cy="2246885"/>
        </a:xfrm>
      </cdr:grpSpPr>
      <cdr:sp macro="" textlink="">
        <cdr:nvSpPr>
          <cdr:cNvPr id="16421" name="Text 3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750473" y="1889797"/>
            <a:ext cx="750271" cy="2453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39%</a:t>
            </a:r>
          </a:p>
        </cdr:txBody>
      </cdr:sp>
      <cdr:sp macro="" textlink="">
        <cdr:nvSpPr>
          <cdr:cNvPr id="16425" name="Text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37362" y="2878434"/>
            <a:ext cx="750271" cy="40959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47%</a:t>
            </a:r>
          </a:p>
        </cdr:txBody>
      </cdr:sp>
      <cdr:sp macro="" textlink="">
        <cdr:nvSpPr>
          <cdr:cNvPr id="16429" name="Text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797068" y="1892429"/>
            <a:ext cx="718748" cy="23359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40%</a:t>
            </a:r>
          </a:p>
        </cdr:txBody>
      </cdr:sp>
      <cdr:sp macro="" textlink="">
        <cdr:nvSpPr>
          <cdr:cNvPr id="16442" name="Text 2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750473" y="2939677"/>
            <a:ext cx="718747" cy="26896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49%</a:t>
            </a:r>
          </a:p>
        </cdr:txBody>
      </cdr:sp>
      <cdr:sp macro="" textlink="">
        <cdr:nvSpPr>
          <cdr:cNvPr id="16443" name="Text 3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763083" y="1041145"/>
            <a:ext cx="706137" cy="27183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12%</a:t>
            </a:r>
          </a:p>
        </cdr:txBody>
      </cdr:sp>
      <cdr:sp macro="" textlink="">
        <cdr:nvSpPr>
          <cdr:cNvPr id="16451" name="Text 4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18445" y="1163629"/>
            <a:ext cx="737663" cy="26247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12%</a:t>
            </a:r>
          </a:p>
        </cdr:txBody>
      </cdr:sp>
      <cdr:sp macro="" textlink="">
        <cdr:nvSpPr>
          <cdr:cNvPr id="16452" name="Text 4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790764" y="1093639"/>
            <a:ext cx="725052" cy="27545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12%</a:t>
            </a:r>
          </a:p>
        </cdr:txBody>
      </cdr:sp>
      <cdr:sp macro="" textlink="">
        <cdr:nvSpPr>
          <cdr:cNvPr id="16453" name="Text 4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43666" y="1873661"/>
            <a:ext cx="706136" cy="26985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41%</a:t>
            </a:r>
          </a:p>
        </cdr:txBody>
      </cdr:sp>
      <cdr:sp macro="" textlink="">
        <cdr:nvSpPr>
          <cdr:cNvPr id="16462" name="Text Box 7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92724" y="2939678"/>
            <a:ext cx="731357" cy="2927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45%</a:t>
            </a:r>
          </a:p>
        </cdr:txBody>
      </cdr:sp>
      <cdr:sp macro="" textlink="">
        <cdr:nvSpPr>
          <cdr:cNvPr id="16463" name="Text Box 7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809681" y="2922177"/>
            <a:ext cx="725053" cy="32120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48%</a:t>
            </a:r>
          </a:p>
        </cdr:txBody>
      </cdr:sp>
      <cdr:sp macro="" textlink="">
        <cdr:nvSpPr>
          <cdr:cNvPr id="16464" name="Text Box 8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905333" y="1881048"/>
            <a:ext cx="712442" cy="25000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43%</a:t>
            </a:r>
          </a:p>
        </cdr:txBody>
      </cdr:sp>
      <cdr:sp macro="" textlink="">
        <cdr:nvSpPr>
          <cdr:cNvPr id="16457" name="Text 4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41708" y="2957176"/>
            <a:ext cx="699832" cy="22433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51%</a:t>
            </a:r>
          </a:p>
        </cdr:txBody>
      </cdr:sp>
      <cdr:sp macro="" textlink="">
        <cdr:nvSpPr>
          <cdr:cNvPr id="16459" name="Text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35402" y="1872300"/>
            <a:ext cx="737661" cy="28662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37%</a:t>
            </a:r>
          </a:p>
        </cdr:txBody>
      </cdr:sp>
      <cdr:sp macro="" textlink="">
        <cdr:nvSpPr>
          <cdr:cNvPr id="16460" name="Text 4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48011" y="1049894"/>
            <a:ext cx="674612" cy="29746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12%</a:t>
            </a:r>
          </a:p>
        </cdr:txBody>
      </cdr:sp>
      <cdr:sp macro="" textlink="">
        <cdr:nvSpPr>
          <cdr:cNvPr id="33" name="Text Box 8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99031" y="1356109"/>
            <a:ext cx="737662" cy="27996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12%</a:t>
            </a:r>
          </a:p>
        </cdr:txBody>
      </cdr:sp>
      <cdr:sp macro="" textlink="">
        <cdr:nvSpPr>
          <cdr:cNvPr id="31" name="Text Box 8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90263" y="1216126"/>
            <a:ext cx="693527" cy="31496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13%</a:t>
            </a:r>
          </a:p>
        </cdr:txBody>
      </cdr:sp>
      <cdr:sp macro="" textlink="">
        <cdr:nvSpPr>
          <cdr:cNvPr id="34" name="Text Box 8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83958" y="1881050"/>
            <a:ext cx="712442" cy="25000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41%</a:t>
            </a:r>
          </a:p>
        </cdr:txBody>
      </cdr:sp>
      <cdr:sp macro="" textlink="">
        <cdr:nvSpPr>
          <cdr:cNvPr id="35" name="Text Box 7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83959" y="2939676"/>
            <a:ext cx="706136" cy="2927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46%</a:t>
            </a:r>
          </a:p>
        </cdr:txBody>
      </cdr:sp>
    </cdr:grpSp>
  </cdr:relSizeAnchor>
  <cdr:relSizeAnchor xmlns:cdr="http://schemas.openxmlformats.org/drawingml/2006/chartDrawing">
    <cdr:from>
      <cdr:x>0.16498</cdr:x>
      <cdr:y>0.16218</cdr:y>
    </cdr:from>
    <cdr:to>
      <cdr:x>0.28003</cdr:x>
      <cdr:y>0.34838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1242" y="7964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6"/>
  <sheetViews>
    <sheetView showGridLines="0" tabSelected="1" view="pageBreakPreview" zoomScaleNormal="160" zoomScaleSheetLayoutView="100" workbookViewId="0">
      <selection activeCell="H3" sqref="H3"/>
    </sheetView>
  </sheetViews>
  <sheetFormatPr defaultColWidth="11.44140625" defaultRowHeight="13.2"/>
  <cols>
    <col min="1" max="1" width="0.6640625" customWidth="1"/>
    <col min="2" max="2" width="18" customWidth="1"/>
    <col min="3" max="3" width="11" customWidth="1"/>
    <col min="4" max="4" width="7.44140625" bestFit="1" customWidth="1"/>
    <col min="5" max="5" width="8.88671875" bestFit="1" customWidth="1"/>
    <col min="6" max="7" width="7.109375" customWidth="1"/>
    <col min="8" max="8" width="8.88671875" bestFit="1" customWidth="1"/>
    <col min="9" max="9" width="10.5546875" bestFit="1" customWidth="1"/>
    <col min="10" max="10" width="8" customWidth="1"/>
    <col min="11" max="11" width="8.88671875" customWidth="1"/>
    <col min="12" max="12" width="6.33203125" customWidth="1"/>
    <col min="13" max="13" width="6.33203125" hidden="1" customWidth="1"/>
    <col min="14" max="14" width="6.109375" hidden="1" customWidth="1"/>
    <col min="15" max="15" width="7.6640625" style="16" hidden="1" customWidth="1"/>
    <col min="16" max="16" width="11.88671875" style="31" hidden="1" customWidth="1"/>
    <col min="17" max="20" width="11.44140625" hidden="1" customWidth="1"/>
    <col min="21" max="21" width="3.5546875" hidden="1" customWidth="1"/>
    <col min="22" max="24" width="0" hidden="1" customWidth="1"/>
    <col min="25" max="25" width="4" hidden="1" customWidth="1"/>
    <col min="26" max="26" width="0" hidden="1" customWidth="1"/>
  </cols>
  <sheetData>
    <row r="1" spans="1:16" ht="15" customHeight="1"/>
    <row r="2" spans="1:16" s="5" customFormat="1" ht="24" customHeight="1">
      <c r="A2" s="17" t="s">
        <v>39</v>
      </c>
      <c r="O2" s="10"/>
      <c r="P2" s="29"/>
    </row>
    <row r="3" spans="1:16" s="5" customFormat="1" ht="17.25" customHeight="1">
      <c r="B3" s="17"/>
      <c r="O3" s="10"/>
      <c r="P3" s="29"/>
    </row>
    <row r="4" spans="1:16" s="6" customFormat="1" ht="15.75" customHeight="1">
      <c r="A4" s="347" t="s">
        <v>53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7"/>
      <c r="M4" s="7"/>
      <c r="N4" s="7"/>
      <c r="O4" s="11"/>
      <c r="P4" s="30"/>
    </row>
    <row r="5" spans="1:16" s="4" customFormat="1" ht="9" customHeight="1">
      <c r="O5" s="12"/>
      <c r="P5" s="28"/>
    </row>
    <row r="6" spans="1:16" s="8" customFormat="1" ht="9" customHeight="1">
      <c r="O6" s="13"/>
      <c r="P6" s="28"/>
    </row>
    <row r="7" spans="1:16" s="1" customFormat="1" ht="9" customHeight="1">
      <c r="O7" s="14"/>
      <c r="P7" s="31"/>
    </row>
    <row r="8" spans="1:16" s="1" customFormat="1" ht="9" customHeight="1">
      <c r="O8" s="14"/>
      <c r="P8" s="31"/>
    </row>
    <row r="9" spans="1:16" s="1" customFormat="1" ht="9" customHeight="1">
      <c r="B9" s="1" t="s">
        <v>0</v>
      </c>
      <c r="O9" s="14"/>
      <c r="P9" s="31"/>
    </row>
    <row r="10" spans="1:16" s="1" customFormat="1" ht="43.5" customHeight="1">
      <c r="O10" s="14"/>
      <c r="P10" s="31"/>
    </row>
    <row r="11" spans="1:16" s="1" customFormat="1" ht="9" customHeight="1">
      <c r="B11" s="1" t="s">
        <v>0</v>
      </c>
      <c r="O11" s="14"/>
      <c r="P11" s="31"/>
    </row>
    <row r="12" spans="1:16" s="1" customFormat="1" ht="9" customHeight="1">
      <c r="O12" s="14"/>
      <c r="P12" s="31"/>
    </row>
    <row r="13" spans="1:16" s="1" customFormat="1" ht="9" customHeight="1">
      <c r="O13" s="14"/>
      <c r="P13" s="31"/>
    </row>
    <row r="14" spans="1:16" s="1" customFormat="1" ht="9" customHeight="1">
      <c r="O14" s="14"/>
      <c r="P14" s="31"/>
    </row>
    <row r="15" spans="1:16" s="1" customFormat="1" ht="9" customHeight="1">
      <c r="O15" s="14"/>
      <c r="P15" s="31"/>
    </row>
    <row r="16" spans="1:16" s="1" customFormat="1" ht="9" customHeight="1">
      <c r="O16" s="14"/>
      <c r="P16" s="31"/>
    </row>
    <row r="17" spans="1:16" s="1" customFormat="1" ht="9" customHeight="1">
      <c r="O17" s="14"/>
      <c r="P17" s="31"/>
    </row>
    <row r="18" spans="1:16" s="1" customFormat="1" ht="9" customHeight="1">
      <c r="O18" s="14"/>
      <c r="P18" s="31"/>
    </row>
    <row r="19" spans="1:16" s="1" customFormat="1" ht="14.25" customHeight="1">
      <c r="O19" s="14"/>
      <c r="P19" s="31"/>
    </row>
    <row r="20" spans="1:16" s="1" customFormat="1" ht="18.75" customHeight="1">
      <c r="O20" s="14"/>
      <c r="P20" s="31"/>
    </row>
    <row r="21" spans="1:16" s="1" customFormat="1" ht="15.75" customHeight="1">
      <c r="A21" s="347" t="s">
        <v>54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O21" s="14"/>
      <c r="P21" s="31"/>
    </row>
    <row r="22" spans="1:16" s="1" customFormat="1" ht="6.75" customHeight="1">
      <c r="O22" s="14"/>
      <c r="P22" s="31"/>
    </row>
    <row r="23" spans="1:16" s="1" customFormat="1" ht="9" customHeight="1">
      <c r="O23" s="14"/>
      <c r="P23" s="31"/>
    </row>
    <row r="24" spans="1:16" s="6" customFormat="1">
      <c r="L24" s="7"/>
      <c r="M24" s="7"/>
      <c r="N24" s="7"/>
      <c r="O24" s="11"/>
      <c r="P24" s="30"/>
    </row>
    <row r="25" spans="1:16" s="1" customFormat="1" ht="9" customHeight="1">
      <c r="O25" s="14"/>
      <c r="P25" s="31"/>
    </row>
    <row r="26" spans="1:16" s="3" customFormat="1" ht="9" customHeight="1">
      <c r="O26" s="15"/>
      <c r="P26" s="28"/>
    </row>
    <row r="27" spans="1:16" s="1" customFormat="1" ht="9" customHeight="1">
      <c r="O27" s="14"/>
      <c r="P27" s="31"/>
    </row>
    <row r="28" spans="1:16" s="1" customFormat="1" ht="9" customHeight="1">
      <c r="O28" s="14"/>
      <c r="P28" s="31"/>
    </row>
    <row r="29" spans="1:16" s="1" customFormat="1" ht="9" customHeight="1">
      <c r="O29" s="14"/>
      <c r="P29" s="31"/>
    </row>
    <row r="30" spans="1:16" s="1" customFormat="1" ht="9" customHeight="1">
      <c r="O30" s="14"/>
      <c r="P30" s="31"/>
    </row>
    <row r="31" spans="1:16" s="1" customFormat="1" ht="9" customHeight="1">
      <c r="O31" s="14"/>
      <c r="P31" s="31"/>
    </row>
    <row r="32" spans="1:16" s="1" customFormat="1" ht="9" customHeight="1">
      <c r="O32" s="14"/>
      <c r="P32" s="31"/>
    </row>
    <row r="33" spans="1:16" s="1" customFormat="1" ht="9" customHeight="1">
      <c r="O33" s="14"/>
      <c r="P33" s="31"/>
    </row>
    <row r="34" spans="1:16" s="1" customFormat="1" ht="9" customHeight="1">
      <c r="O34" s="14"/>
      <c r="P34" s="31"/>
    </row>
    <row r="35" spans="1:16" s="1" customFormat="1" ht="15.6">
      <c r="B35" s="294"/>
      <c r="O35" s="14"/>
      <c r="P35" s="31"/>
    </row>
    <row r="36" spans="1:16" s="1" customFormat="1" ht="9" customHeight="1">
      <c r="O36" s="14"/>
      <c r="P36" s="31"/>
    </row>
    <row r="37" spans="1:16" s="1" customFormat="1" ht="10.199999999999999">
      <c r="O37" s="14"/>
      <c r="P37" s="31"/>
    </row>
    <row r="38" spans="1:16" s="1" customFormat="1" ht="9" customHeight="1">
      <c r="O38" s="14"/>
      <c r="P38" s="31"/>
    </row>
    <row r="39" spans="1:16" s="1" customFormat="1" ht="9" customHeight="1">
      <c r="O39" s="14"/>
      <c r="P39" s="31"/>
    </row>
    <row r="40" spans="1:16" s="1" customFormat="1" ht="9" customHeight="1">
      <c r="O40" s="14"/>
      <c r="P40" s="31"/>
    </row>
    <row r="41" spans="1:16" s="1" customFormat="1" ht="7.5" customHeight="1">
      <c r="O41" s="14"/>
      <c r="P41" s="31"/>
    </row>
    <row r="42" spans="1:16" s="1" customFormat="1" ht="13.5" customHeight="1">
      <c r="A42" s="347" t="s">
        <v>50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O42" s="14"/>
      <c r="P42" s="31"/>
    </row>
    <row r="43" spans="1:16" s="1" customFormat="1" ht="10.199999999999999">
      <c r="A43" s="350" t="s">
        <v>68</v>
      </c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O43" s="14"/>
      <c r="P43" s="31"/>
    </row>
    <row r="44" spans="1:16" s="1" customFormat="1" ht="15.75" customHeight="1">
      <c r="A44" s="297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O44" s="14"/>
      <c r="P44" s="31"/>
    </row>
    <row r="45" spans="1:16" s="1" customFormat="1" ht="6.75" customHeight="1">
      <c r="O45" s="14"/>
      <c r="P45" s="31"/>
    </row>
    <row r="46" spans="1:16" s="1" customFormat="1" ht="9" customHeight="1">
      <c r="O46" s="14"/>
      <c r="P46" s="31"/>
    </row>
    <row r="47" spans="1:16" s="1" customFormat="1" ht="9" customHeight="1">
      <c r="O47" s="14"/>
      <c r="P47" s="31"/>
    </row>
    <row r="48" spans="1:16" s="1" customFormat="1" ht="9" customHeight="1">
      <c r="O48" s="14"/>
      <c r="P48" s="31"/>
    </row>
    <row r="49" spans="2:16" s="1" customFormat="1" ht="9" customHeight="1">
      <c r="O49" s="14"/>
      <c r="P49" s="31"/>
    </row>
    <row r="50" spans="2:16" s="1" customFormat="1" ht="9" customHeight="1">
      <c r="O50" s="14"/>
      <c r="P50" s="31"/>
    </row>
    <row r="51" spans="2:16" s="1" customFormat="1" ht="9" customHeight="1">
      <c r="O51" s="14"/>
      <c r="P51" s="31"/>
    </row>
    <row r="52" spans="2:16" s="1" customFormat="1" ht="9" customHeight="1">
      <c r="O52" s="14"/>
      <c r="P52" s="31"/>
    </row>
    <row r="53" spans="2:16" s="1" customFormat="1" ht="9" customHeight="1">
      <c r="O53" s="14"/>
      <c r="P53" s="31"/>
    </row>
    <row r="54" spans="2:16" s="1" customFormat="1" ht="9" customHeight="1">
      <c r="O54" s="14"/>
      <c r="P54" s="31"/>
    </row>
    <row r="55" spans="2:16" s="1" customFormat="1" ht="9" customHeight="1">
      <c r="O55" s="14"/>
      <c r="P55" s="31"/>
    </row>
    <row r="56" spans="2:16" s="1" customFormat="1" ht="9" customHeight="1">
      <c r="O56" s="14"/>
      <c r="P56" s="31"/>
    </row>
    <row r="57" spans="2:16" s="1" customFormat="1" ht="9" customHeight="1">
      <c r="O57" s="14"/>
      <c r="P57" s="31"/>
    </row>
    <row r="58" spans="2:16" s="1" customFormat="1" ht="9" customHeight="1">
      <c r="O58" s="14"/>
      <c r="P58" s="31"/>
    </row>
    <row r="59" spans="2:16" s="1" customFormat="1" ht="9" customHeight="1">
      <c r="O59" s="14"/>
      <c r="P59" s="31"/>
    </row>
    <row r="60" spans="2:16" s="1" customFormat="1" ht="9" customHeight="1">
      <c r="O60" s="14"/>
      <c r="P60" s="31"/>
    </row>
    <row r="61" spans="2:16" s="1" customFormat="1" ht="9" customHeight="1">
      <c r="O61" s="14"/>
      <c r="P61" s="31"/>
    </row>
    <row r="62" spans="2:16" s="1" customFormat="1" ht="9" customHeight="1">
      <c r="O62" s="14"/>
      <c r="P62" s="31"/>
    </row>
    <row r="63" spans="2:16" s="1" customFormat="1" ht="15.6">
      <c r="B63" s="295"/>
      <c r="O63" s="14"/>
      <c r="P63" s="31"/>
    </row>
    <row r="64" spans="2:16" s="1" customFormat="1" ht="1.5" customHeight="1">
      <c r="O64" s="14"/>
      <c r="P64" s="31"/>
    </row>
    <row r="65" spans="1:26" s="1" customFormat="1" ht="3" customHeight="1">
      <c r="O65" s="14"/>
      <c r="P65" s="31"/>
    </row>
    <row r="66" spans="1:26" s="283" customFormat="1" ht="16.5" customHeight="1">
      <c r="A66" s="284"/>
      <c r="B66" s="349" t="s">
        <v>69</v>
      </c>
      <c r="C66" s="349"/>
      <c r="D66" s="349"/>
      <c r="E66" s="349"/>
      <c r="F66" s="349"/>
      <c r="G66" s="349"/>
      <c r="H66" s="349"/>
      <c r="I66" s="349"/>
      <c r="J66" s="349"/>
      <c r="K66" s="349"/>
      <c r="L66" s="293"/>
      <c r="M66" s="293"/>
      <c r="N66" s="293"/>
      <c r="O66" s="293"/>
      <c r="P66" s="285"/>
      <c r="Q66" s="286"/>
      <c r="R66" s="286"/>
    </row>
    <row r="67" spans="1:26" s="35" customFormat="1" ht="11.25" customHeight="1">
      <c r="B67" s="348" t="s">
        <v>37</v>
      </c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6"/>
    </row>
    <row r="68" spans="1:26" s="283" customFormat="1" ht="15.75" customHeight="1">
      <c r="A68" s="284"/>
      <c r="B68" s="349" t="s">
        <v>38</v>
      </c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285"/>
      <c r="Q68" s="286"/>
      <c r="R68" s="286"/>
    </row>
    <row r="69" spans="1:26" s="26" customFormat="1" ht="3.75" customHeight="1">
      <c r="B69" s="27"/>
      <c r="O69" s="32"/>
      <c r="P69" s="28"/>
    </row>
    <row r="70" spans="1:26" s="2" customFormat="1">
      <c r="B70" s="18" t="s">
        <v>36</v>
      </c>
      <c r="O70" s="9"/>
      <c r="P70" s="19"/>
    </row>
    <row r="71" spans="1:26" s="19" customFormat="1">
      <c r="B71" s="34" t="s">
        <v>71</v>
      </c>
      <c r="O71" s="20"/>
      <c r="Q71" s="2"/>
      <c r="R71" s="2"/>
      <c r="S71" s="2"/>
      <c r="T71" s="2"/>
      <c r="U71" s="2"/>
      <c r="V71" s="2"/>
      <c r="W71" s="2"/>
      <c r="X71" s="2"/>
      <c r="Y71" s="2"/>
    </row>
    <row r="72" spans="1:26" s="19" customFormat="1">
      <c r="L72" s="21"/>
      <c r="M72" s="21"/>
      <c r="O72" s="20"/>
      <c r="Q72" s="2"/>
      <c r="R72" s="2"/>
      <c r="S72" s="2"/>
      <c r="T72" s="2"/>
      <c r="U72" s="2"/>
      <c r="V72" s="2"/>
      <c r="W72" s="2"/>
      <c r="X72" s="2"/>
      <c r="Y72" s="2"/>
      <c r="Z72" s="22"/>
    </row>
    <row r="73" spans="1:26" s="19" customFormat="1">
      <c r="C73" s="28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s="19" customFormat="1" ht="11.4">
      <c r="B74" s="20"/>
    </row>
    <row r="75" spans="1:26" s="19" customFormat="1" ht="11.4"/>
    <row r="76" spans="1:26" s="19" customFormat="1" ht="11.4">
      <c r="B76" s="20"/>
    </row>
    <row r="77" spans="1:26" s="19" customFormat="1" ht="11.4">
      <c r="B77" s="20"/>
    </row>
    <row r="78" spans="1:26" s="19" customFormat="1" ht="11.4" hidden="1">
      <c r="B78" s="20"/>
      <c r="P78" s="24"/>
    </row>
    <row r="79" spans="1:26" s="19" customFormat="1" ht="11.4" hidden="1">
      <c r="P79" s="24"/>
    </row>
    <row r="80" spans="1:26" s="19" customFormat="1" ht="11.4" hidden="1">
      <c r="B80" s="20"/>
    </row>
    <row r="81" spans="2:16" s="24" customFormat="1" ht="11.4" hidden="1">
      <c r="B81" s="25"/>
      <c r="P81" s="19"/>
    </row>
    <row r="82" spans="2:16" s="24" customFormat="1" ht="11.4" hidden="1">
      <c r="B82" s="25"/>
      <c r="P82" s="19"/>
    </row>
    <row r="83" spans="2:16" s="19" customFormat="1" ht="11.4" hidden="1">
      <c r="B83" s="25"/>
    </row>
    <row r="84" spans="2:16" s="19" customFormat="1" ht="11.4" hidden="1">
      <c r="B84" s="25"/>
    </row>
    <row r="85" spans="2:16" s="19" customFormat="1" ht="11.4" hidden="1">
      <c r="B85" s="25"/>
    </row>
    <row r="86" spans="2:16" s="19" customFormat="1" ht="11.4" hidden="1">
      <c r="B86" s="25"/>
    </row>
    <row r="87" spans="2:16" s="19" customFormat="1" ht="11.4" hidden="1">
      <c r="B87" s="23"/>
    </row>
    <row r="88" spans="2:16" s="19" customFormat="1" ht="11.4" hidden="1">
      <c r="B88" s="23"/>
    </row>
    <row r="89" spans="2:16" s="19" customFormat="1" ht="11.4" hidden="1">
      <c r="B89" s="23"/>
    </row>
    <row r="90" spans="2:16" s="19" customFormat="1" ht="11.4" hidden="1">
      <c r="B90" s="23"/>
    </row>
    <row r="91" spans="2:16" s="19" customFormat="1" ht="11.4" hidden="1">
      <c r="B91" s="23"/>
    </row>
    <row r="92" spans="2:16" s="19" customFormat="1" ht="11.4" hidden="1">
      <c r="B92" s="23"/>
    </row>
    <row r="93" spans="2:16" s="19" customFormat="1" ht="11.4" hidden="1">
      <c r="B93" s="23"/>
    </row>
    <row r="94" spans="2:16" s="19" customFormat="1" ht="22.5" hidden="1" customHeight="1"/>
    <row r="95" spans="2:16" s="19" customFormat="1" ht="11.4" hidden="1">
      <c r="B95" s="33"/>
    </row>
    <row r="96" spans="2:16" s="19" customFormat="1" ht="18.75" hidden="1" customHeight="1">
      <c r="B96" s="33"/>
    </row>
    <row r="97" spans="2:2" s="19" customFormat="1" ht="18.75" hidden="1" customHeight="1">
      <c r="B97" s="33"/>
    </row>
    <row r="98" spans="2:2" s="19" customFormat="1" ht="18.75" hidden="1" customHeight="1">
      <c r="B98" s="33"/>
    </row>
    <row r="99" spans="2:2" s="19" customFormat="1" ht="18.75" hidden="1" customHeight="1">
      <c r="B99" s="33"/>
    </row>
    <row r="100" spans="2:2" s="19" customFormat="1" ht="18.75" hidden="1" customHeight="1">
      <c r="B100" s="33"/>
    </row>
    <row r="101" spans="2:2" s="19" customFormat="1" ht="18.75" hidden="1" customHeight="1">
      <c r="B101" s="33"/>
    </row>
    <row r="102" spans="2:2" s="19" customFormat="1" ht="18.75" hidden="1" customHeight="1">
      <c r="B102" s="33"/>
    </row>
    <row r="103" spans="2:2" s="19" customFormat="1" ht="18.75" hidden="1" customHeight="1">
      <c r="B103" s="33"/>
    </row>
    <row r="104" spans="2:2" s="19" customFormat="1" ht="18.75" hidden="1" customHeight="1">
      <c r="B104" s="33"/>
    </row>
    <row r="105" spans="2:2" s="19" customFormat="1" ht="18.75" hidden="1" customHeight="1">
      <c r="B105" s="33"/>
    </row>
    <row r="106" spans="2:2" s="19" customFormat="1" ht="21.6" hidden="1" customHeight="1">
      <c r="B106" s="33"/>
    </row>
    <row r="107" spans="2:2" s="19" customFormat="1" ht="21.6" hidden="1" customHeight="1">
      <c r="B107" s="33"/>
    </row>
    <row r="108" spans="2:2" s="19" customFormat="1" ht="21.6" customHeight="1">
      <c r="B108" s="33"/>
    </row>
    <row r="109" spans="2:2" s="19" customFormat="1" ht="21.6" customHeight="1">
      <c r="B109" s="33"/>
    </row>
    <row r="110" spans="2:2" s="19" customFormat="1" ht="21.6" customHeight="1">
      <c r="B110" s="33"/>
    </row>
    <row r="111" spans="2:2" s="19" customFormat="1" ht="21.6" customHeight="1">
      <c r="B111" s="33"/>
    </row>
    <row r="112" spans="2:2" s="19" customFormat="1" ht="21.6" customHeight="1">
      <c r="B112" s="33"/>
    </row>
    <row r="113" spans="2:16" s="19" customFormat="1" ht="21.6" customHeight="1">
      <c r="B113" s="33"/>
    </row>
    <row r="114" spans="2:16" s="19" customFormat="1" ht="21.6" customHeight="1">
      <c r="B114" s="33"/>
    </row>
    <row r="115" spans="2:16" s="19" customFormat="1" ht="21.6" customHeight="1">
      <c r="B115" s="33"/>
    </row>
    <row r="116" spans="2:16" s="19" customFormat="1" ht="21.6" customHeight="1">
      <c r="B116" s="33"/>
    </row>
    <row r="117" spans="2:16" s="19" customFormat="1" ht="12.75" customHeight="1">
      <c r="B117" s="20"/>
    </row>
    <row r="118" spans="2:16" s="19" customFormat="1" ht="12.75" customHeight="1">
      <c r="B118" s="20"/>
      <c r="C118" s="31"/>
    </row>
    <row r="119" spans="2:16" s="19" customFormat="1" ht="12.75" customHeight="1">
      <c r="B119" s="20"/>
      <c r="C119" s="31"/>
    </row>
    <row r="120" spans="2:16" s="19" customFormat="1" ht="12.75" customHeight="1">
      <c r="B120" s="20"/>
      <c r="C120" s="31"/>
    </row>
    <row r="121" spans="2:16" s="19" customFormat="1" ht="12.75" customHeight="1">
      <c r="B121" s="20"/>
      <c r="C121" s="31"/>
    </row>
    <row r="122" spans="2:16" s="19" customFormat="1" ht="12.75" customHeight="1">
      <c r="B122" s="20"/>
      <c r="C122" s="31"/>
    </row>
    <row r="123" spans="2:16" s="19" customFormat="1" ht="12.75" customHeight="1">
      <c r="B123" s="20"/>
      <c r="C123" s="31"/>
      <c r="E123"/>
      <c r="F123"/>
      <c r="G123"/>
      <c r="H123"/>
    </row>
    <row r="124" spans="2:16" s="19" customFormat="1" ht="12.75" customHeight="1">
      <c r="B124" s="20"/>
      <c r="C124" s="31"/>
      <c r="E124"/>
      <c r="F124"/>
      <c r="G124"/>
      <c r="H124"/>
    </row>
    <row r="125" spans="2:16" s="19" customFormat="1" ht="12.75" customHeight="1">
      <c r="B125" s="20"/>
      <c r="C125" s="31"/>
      <c r="E125"/>
      <c r="F125"/>
      <c r="G125"/>
      <c r="H125"/>
      <c r="P125" s="31"/>
    </row>
    <row r="126" spans="2:16" s="19" customFormat="1" ht="12.75" customHeight="1">
      <c r="B126" s="20"/>
      <c r="C126" s="31"/>
      <c r="E126"/>
      <c r="F126"/>
      <c r="G126"/>
      <c r="H126"/>
      <c r="P126" s="31"/>
    </row>
    <row r="127" spans="2:16" s="19" customFormat="1" ht="12.75" customHeight="1">
      <c r="B127" s="20"/>
      <c r="C127" s="31"/>
      <c r="E127"/>
      <c r="F127"/>
      <c r="G127"/>
      <c r="H127"/>
      <c r="P127" s="31"/>
    </row>
    <row r="128" spans="2:16" s="19" customFormat="1" ht="12.75" customHeight="1">
      <c r="O128" s="20"/>
      <c r="P128" s="31"/>
    </row>
    <row r="129" spans="15:16" s="19" customFormat="1" ht="12.75" customHeight="1">
      <c r="O129" s="20"/>
      <c r="P129" s="31"/>
    </row>
    <row r="130" spans="15:16" s="19" customFormat="1" ht="12.75" customHeight="1">
      <c r="O130" s="20"/>
      <c r="P130" s="31"/>
    </row>
    <row r="131" spans="15:16" s="19" customFormat="1" ht="12.75" customHeight="1">
      <c r="O131" s="20"/>
      <c r="P131" s="31"/>
    </row>
    <row r="132" spans="15:16" s="19" customFormat="1" ht="12.75" customHeight="1">
      <c r="O132" s="20"/>
      <c r="P132" s="31"/>
    </row>
    <row r="133" spans="15:16" s="19" customFormat="1" ht="12.75" customHeight="1">
      <c r="O133" s="20"/>
      <c r="P133" s="31"/>
    </row>
    <row r="134" spans="15:16" s="19" customFormat="1" ht="12.75" customHeight="1">
      <c r="O134" s="20"/>
      <c r="P134" s="31"/>
    </row>
    <row r="135" spans="15:16" s="19" customFormat="1" ht="12.75" customHeight="1">
      <c r="O135" s="20"/>
      <c r="P135" s="31"/>
    </row>
    <row r="136" spans="15:16" s="19" customFormat="1" ht="12.75" customHeight="1">
      <c r="O136" s="20"/>
      <c r="P136" s="31"/>
    </row>
    <row r="137" spans="15:16" s="19" customFormat="1" ht="12.75" customHeight="1">
      <c r="O137" s="20"/>
      <c r="P137" s="31"/>
    </row>
    <row r="138" spans="15:16" s="19" customFormat="1" ht="12.75" customHeight="1">
      <c r="O138" s="20"/>
      <c r="P138" s="31"/>
    </row>
    <row r="139" spans="15:16" s="19" customFormat="1" ht="12.75" customHeight="1">
      <c r="O139" s="20"/>
      <c r="P139" s="31"/>
    </row>
    <row r="140" spans="15:16" s="19" customFormat="1" ht="12.75" customHeight="1">
      <c r="O140" s="20"/>
      <c r="P140" s="31"/>
    </row>
    <row r="141" spans="15:16" s="19" customFormat="1" ht="12.75" customHeight="1">
      <c r="O141" s="20"/>
      <c r="P141" s="31"/>
    </row>
    <row r="142" spans="15:16" s="19" customFormat="1" ht="12.75" customHeight="1">
      <c r="O142" s="20"/>
      <c r="P142" s="31"/>
    </row>
    <row r="143" spans="15:16" s="19" customFormat="1" ht="12.75" customHeight="1">
      <c r="O143" s="20"/>
      <c r="P143" s="31"/>
    </row>
    <row r="144" spans="15:16" s="19" customFormat="1" ht="12.75" customHeight="1">
      <c r="O144" s="20"/>
      <c r="P144" s="31"/>
    </row>
    <row r="145" spans="15:25" s="19" customFormat="1" ht="12.75" customHeight="1">
      <c r="O145" s="20"/>
      <c r="P145" s="31"/>
    </row>
    <row r="146" spans="15:25" s="19" customFormat="1" ht="12.75" customHeight="1">
      <c r="O146" s="20"/>
      <c r="P146" s="31"/>
    </row>
    <row r="147" spans="15:25" s="19" customFormat="1" ht="12.75" customHeight="1">
      <c r="O147" s="20"/>
      <c r="P147" s="31"/>
    </row>
    <row r="148" spans="15:25" s="19" customFormat="1" ht="12.75" customHeight="1">
      <c r="O148" s="20"/>
      <c r="P148" s="31"/>
    </row>
    <row r="149" spans="15:25" s="19" customFormat="1" ht="12.75" customHeight="1">
      <c r="O149" s="20"/>
      <c r="P149" s="31"/>
    </row>
    <row r="150" spans="15:25" s="19" customFormat="1" ht="12.75" customHeight="1">
      <c r="O150" s="20"/>
      <c r="P150" s="31"/>
    </row>
    <row r="151" spans="15:25" s="19" customFormat="1" ht="12.75" customHeight="1">
      <c r="O151" s="20"/>
      <c r="P151" s="31"/>
    </row>
    <row r="152" spans="15:25" s="19" customFormat="1" ht="12.75" customHeight="1">
      <c r="O152" s="20"/>
      <c r="P152" s="31"/>
    </row>
    <row r="153" spans="15:25" s="19" customFormat="1" ht="12.75" customHeight="1">
      <c r="O153" s="20"/>
      <c r="P153" s="31"/>
    </row>
    <row r="154" spans="15:25" s="19" customFormat="1" ht="12.75" customHeight="1">
      <c r="O154" s="20"/>
      <c r="P154" s="31"/>
    </row>
    <row r="155" spans="15:25" s="19" customFormat="1" ht="12.75" customHeight="1">
      <c r="O155" s="20"/>
      <c r="P155" s="31"/>
    </row>
    <row r="156" spans="15:25" s="19" customFormat="1" ht="12.75" customHeight="1">
      <c r="O156" s="20"/>
      <c r="P156" s="31"/>
    </row>
    <row r="157" spans="15:25" s="19" customFormat="1" ht="12.75" customHeight="1">
      <c r="O157" s="20"/>
      <c r="P157" s="31"/>
    </row>
    <row r="158" spans="15:25"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5:25"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5:25"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7:25"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7:25"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7:25"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7:25"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7:25"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7:25">
      <c r="Q166" s="19"/>
      <c r="R166" s="19"/>
      <c r="S166" s="19"/>
      <c r="T166" s="19"/>
      <c r="U166" s="19"/>
      <c r="V166" s="19"/>
      <c r="W166" s="19"/>
      <c r="X166" s="19"/>
      <c r="Y166" s="19"/>
    </row>
  </sheetData>
  <mergeCells count="7">
    <mergeCell ref="A21:K21"/>
    <mergeCell ref="A4:K4"/>
    <mergeCell ref="B67:O67"/>
    <mergeCell ref="B68:O68"/>
    <mergeCell ref="B66:K66"/>
    <mergeCell ref="A43:K43"/>
    <mergeCell ref="A42:K42"/>
  </mergeCells>
  <printOptions horizontalCentered="1" verticalCentered="1"/>
  <pageMargins left="0.5" right="0.5" top="0.34" bottom="0.4" header="0.3" footer="0.4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9"/>
  <sheetViews>
    <sheetView zoomScale="80" zoomScaleNormal="80" workbookViewId="0">
      <selection activeCell="B81" sqref="B81"/>
    </sheetView>
  </sheetViews>
  <sheetFormatPr defaultColWidth="9.109375" defaultRowHeight="11.4"/>
  <cols>
    <col min="1" max="1" width="1.44140625" style="54" customWidth="1"/>
    <col min="2" max="2" width="11.5546875" style="123" bestFit="1" customWidth="1"/>
    <col min="3" max="5" width="11.6640625" style="54" customWidth="1"/>
    <col min="6" max="6" width="9.109375" style="54" customWidth="1"/>
    <col min="7" max="7" width="1.88671875" style="54" customWidth="1"/>
    <col min="8" max="10" width="11.6640625" style="54" customWidth="1"/>
    <col min="11" max="11" width="10.44140625" style="54" customWidth="1"/>
    <col min="12" max="13" width="9.109375" style="54"/>
    <col min="14" max="15" width="11.5546875" style="54" bestFit="1" customWidth="1"/>
    <col min="16" max="16384" width="9.109375" style="54"/>
  </cols>
  <sheetData>
    <row r="1" spans="2:13" ht="15.6">
      <c r="B1" s="289" t="s">
        <v>40</v>
      </c>
      <c r="K1" s="292"/>
    </row>
    <row r="2" spans="2:13">
      <c r="K2" s="292"/>
    </row>
    <row r="3" spans="2:13" ht="12">
      <c r="B3" s="52"/>
      <c r="C3" s="53"/>
      <c r="D3" s="53"/>
      <c r="E3" s="53"/>
      <c r="F3" s="53"/>
      <c r="G3" s="53"/>
      <c r="H3" s="53"/>
      <c r="I3" s="53"/>
      <c r="J3" s="53"/>
      <c r="K3" s="314"/>
      <c r="L3" s="53"/>
      <c r="M3" s="53"/>
    </row>
    <row r="4" spans="2:13" ht="12">
      <c r="B4" s="55"/>
      <c r="C4" s="351" t="s">
        <v>1</v>
      </c>
      <c r="D4" s="352"/>
      <c r="E4" s="352"/>
      <c r="F4" s="353"/>
      <c r="G4" s="56"/>
      <c r="H4" s="351" t="s">
        <v>2</v>
      </c>
      <c r="I4" s="352"/>
      <c r="J4" s="353"/>
      <c r="K4" s="313"/>
      <c r="L4" s="56"/>
      <c r="M4" s="56"/>
    </row>
    <row r="5" spans="2:13" ht="59.25" customHeight="1">
      <c r="B5" s="57"/>
      <c r="C5" s="279" t="s">
        <v>27</v>
      </c>
      <c r="D5" s="281" t="s">
        <v>26</v>
      </c>
      <c r="E5" s="282" t="s">
        <v>4</v>
      </c>
      <c r="F5" s="280" t="s">
        <v>3</v>
      </c>
      <c r="G5" s="58"/>
      <c r="H5" s="279" t="s">
        <v>27</v>
      </c>
      <c r="I5" s="281" t="s">
        <v>26</v>
      </c>
      <c r="J5" s="282" t="s">
        <v>4</v>
      </c>
      <c r="K5" s="315"/>
      <c r="L5" s="56"/>
      <c r="M5" s="56"/>
    </row>
    <row r="6" spans="2:13" ht="24" hidden="1">
      <c r="B6" s="59" t="s">
        <v>6</v>
      </c>
      <c r="C6" s="60">
        <v>198499</v>
      </c>
      <c r="D6" s="61">
        <f>22369+53032</f>
        <v>75401</v>
      </c>
      <c r="E6" s="61">
        <v>47842</v>
      </c>
      <c r="F6" s="62">
        <f t="shared" ref="F6:F11" si="0">SUM(C6:E6)</f>
        <v>321742</v>
      </c>
      <c r="G6" s="63"/>
      <c r="H6" s="64">
        <f t="shared" ref="H6:H13" si="1">C6/F6</f>
        <v>0.61695084881675377</v>
      </c>
      <c r="I6" s="65">
        <f t="shared" ref="I6:I18" si="2">D6/F6</f>
        <v>0.23435236928967931</v>
      </c>
      <c r="J6" s="66">
        <f t="shared" ref="J6:J30" si="3">E6/F6</f>
        <v>0.14869678189356689</v>
      </c>
      <c r="K6" s="315"/>
      <c r="L6" s="56"/>
      <c r="M6" s="56"/>
    </row>
    <row r="7" spans="2:13" ht="24" hidden="1">
      <c r="B7" s="140" t="s">
        <v>5</v>
      </c>
      <c r="C7" s="141">
        <v>185879</v>
      </c>
      <c r="D7" s="142">
        <f>22406+49906</f>
        <v>72312</v>
      </c>
      <c r="E7" s="142">
        <v>42166</v>
      </c>
      <c r="F7" s="143">
        <f t="shared" si="0"/>
        <v>300357</v>
      </c>
      <c r="G7" s="144"/>
      <c r="H7" s="145">
        <f t="shared" si="1"/>
        <v>0.61886022300129517</v>
      </c>
      <c r="I7" s="146">
        <f t="shared" si="2"/>
        <v>0.24075350333103607</v>
      </c>
      <c r="J7" s="147">
        <f t="shared" si="3"/>
        <v>0.14038627366766881</v>
      </c>
      <c r="K7" s="315"/>
      <c r="L7" s="56"/>
      <c r="M7" s="56"/>
    </row>
    <row r="8" spans="2:13" ht="24" hidden="1">
      <c r="B8" s="67" t="s">
        <v>7</v>
      </c>
      <c r="C8" s="68">
        <v>211022</v>
      </c>
      <c r="D8" s="69">
        <v>75605</v>
      </c>
      <c r="E8" s="69">
        <v>45696</v>
      </c>
      <c r="F8" s="70">
        <f t="shared" si="0"/>
        <v>332323</v>
      </c>
      <c r="G8" s="71"/>
      <c r="H8" s="72">
        <f t="shared" si="1"/>
        <v>0.63499065668039834</v>
      </c>
      <c r="I8" s="73">
        <f t="shared" si="2"/>
        <v>0.22750456634057828</v>
      </c>
      <c r="J8" s="74">
        <f t="shared" si="3"/>
        <v>0.13750477697902341</v>
      </c>
      <c r="K8" s="315"/>
      <c r="L8" s="56"/>
      <c r="M8" s="56"/>
    </row>
    <row r="9" spans="2:13" ht="24" hidden="1">
      <c r="B9" s="148" t="s">
        <v>8</v>
      </c>
      <c r="C9" s="149">
        <v>197764</v>
      </c>
      <c r="D9" s="150">
        <f>24983+52122</f>
        <v>77105</v>
      </c>
      <c r="E9" s="150">
        <v>45048</v>
      </c>
      <c r="F9" s="151">
        <f t="shared" si="0"/>
        <v>319917</v>
      </c>
      <c r="G9" s="152"/>
      <c r="H9" s="153">
        <f t="shared" si="1"/>
        <v>0.61817283858000671</v>
      </c>
      <c r="I9" s="154">
        <f t="shared" si="2"/>
        <v>0.24101563843121809</v>
      </c>
      <c r="J9" s="155">
        <f t="shared" si="3"/>
        <v>0.14081152298877522</v>
      </c>
      <c r="K9" s="316"/>
      <c r="L9" s="56"/>
      <c r="M9" s="56"/>
    </row>
    <row r="10" spans="2:13" ht="24" hidden="1">
      <c r="B10" s="77" t="s">
        <v>9</v>
      </c>
      <c r="C10" s="78">
        <v>203907</v>
      </c>
      <c r="D10" s="79">
        <f>23878+67990</f>
        <v>91868</v>
      </c>
      <c r="E10" s="79">
        <v>43770</v>
      </c>
      <c r="F10" s="80">
        <f t="shared" si="0"/>
        <v>339545</v>
      </c>
      <c r="G10" s="81"/>
      <c r="H10" s="82">
        <f t="shared" si="1"/>
        <v>0.60053012119159466</v>
      </c>
      <c r="I10" s="83">
        <f t="shared" si="2"/>
        <v>0.27056207571897689</v>
      </c>
      <c r="J10" s="84">
        <f t="shared" si="3"/>
        <v>0.12890780308942851</v>
      </c>
      <c r="K10" s="316"/>
      <c r="L10" s="56"/>
      <c r="M10" s="56"/>
    </row>
    <row r="11" spans="2:13" ht="24" hidden="1">
      <c r="B11" s="156" t="s">
        <v>10</v>
      </c>
      <c r="C11" s="157">
        <v>182731</v>
      </c>
      <c r="D11" s="158">
        <f>15721+72968</f>
        <v>88689</v>
      </c>
      <c r="E11" s="158">
        <v>44833</v>
      </c>
      <c r="F11" s="159">
        <f t="shared" si="0"/>
        <v>316253</v>
      </c>
      <c r="G11" s="160"/>
      <c r="H11" s="161">
        <f t="shared" si="1"/>
        <v>0.57780005248962063</v>
      </c>
      <c r="I11" s="162">
        <f t="shared" si="2"/>
        <v>0.28043686542103946</v>
      </c>
      <c r="J11" s="163">
        <f t="shared" si="3"/>
        <v>0.14176308208933985</v>
      </c>
      <c r="K11" s="316"/>
      <c r="L11" s="56"/>
      <c r="M11" s="56"/>
    </row>
    <row r="12" spans="2:13" ht="24" hidden="1">
      <c r="B12" s="85" t="s">
        <v>11</v>
      </c>
      <c r="C12" s="86">
        <v>199010</v>
      </c>
      <c r="D12" s="87">
        <f t="shared" ref="D12:D33" si="4">F12-E12-C12</f>
        <v>88564</v>
      </c>
      <c r="E12" s="87">
        <v>42747</v>
      </c>
      <c r="F12" s="88">
        <v>330321</v>
      </c>
      <c r="G12" s="89"/>
      <c r="H12" s="90">
        <f t="shared" si="1"/>
        <v>0.60247456262241883</v>
      </c>
      <c r="I12" s="91">
        <f t="shared" si="2"/>
        <v>0.26811495484695191</v>
      </c>
      <c r="J12" s="92">
        <f t="shared" si="3"/>
        <v>0.12941048253062928</v>
      </c>
      <c r="K12" s="316"/>
      <c r="L12" s="56"/>
      <c r="M12" s="56"/>
    </row>
    <row r="13" spans="2:13" ht="24" hidden="1">
      <c r="B13" s="164" t="s">
        <v>12</v>
      </c>
      <c r="C13" s="165">
        <v>182078</v>
      </c>
      <c r="D13" s="166">
        <f t="shared" si="4"/>
        <v>87494</v>
      </c>
      <c r="E13" s="166">
        <v>37564</v>
      </c>
      <c r="F13" s="167">
        <v>307136</v>
      </c>
      <c r="G13" s="168"/>
      <c r="H13" s="169">
        <f t="shared" si="1"/>
        <v>0.59282532819337364</v>
      </c>
      <c r="I13" s="170">
        <f t="shared" si="2"/>
        <v>0.28487054594707228</v>
      </c>
      <c r="J13" s="171">
        <f t="shared" si="3"/>
        <v>0.12230412585955408</v>
      </c>
      <c r="K13" s="313"/>
      <c r="L13" s="56"/>
      <c r="M13" s="56"/>
    </row>
    <row r="14" spans="2:13" ht="24" hidden="1">
      <c r="B14" s="93" t="s">
        <v>13</v>
      </c>
      <c r="C14" s="94">
        <v>194097</v>
      </c>
      <c r="D14" s="95">
        <f t="shared" si="4"/>
        <v>85780</v>
      </c>
      <c r="E14" s="95">
        <v>40868</v>
      </c>
      <c r="F14" s="96">
        <v>320745</v>
      </c>
      <c r="G14" s="97"/>
      <c r="H14" s="98">
        <f>ROUNDDOWN(C14/F14,2)</f>
        <v>0.6</v>
      </c>
      <c r="I14" s="99">
        <f t="shared" si="2"/>
        <v>0.26743986656066343</v>
      </c>
      <c r="J14" s="100">
        <f t="shared" si="3"/>
        <v>0.12741585995105145</v>
      </c>
      <c r="K14" s="317"/>
      <c r="L14" s="56"/>
      <c r="M14" s="56"/>
    </row>
    <row r="15" spans="2:13" ht="24" hidden="1">
      <c r="B15" s="172" t="s">
        <v>14</v>
      </c>
      <c r="C15" s="173">
        <v>179470</v>
      </c>
      <c r="D15" s="174">
        <f t="shared" si="4"/>
        <v>77562</v>
      </c>
      <c r="E15" s="174">
        <v>39159</v>
      </c>
      <c r="F15" s="175">
        <v>296191</v>
      </c>
      <c r="G15" s="176"/>
      <c r="H15" s="177">
        <f>C15/F15</f>
        <v>0.60592658115877929</v>
      </c>
      <c r="I15" s="178">
        <f t="shared" si="2"/>
        <v>0.26186481020692731</v>
      </c>
      <c r="J15" s="179">
        <f t="shared" si="3"/>
        <v>0.1322086086342934</v>
      </c>
      <c r="K15" s="315"/>
      <c r="L15" s="56"/>
      <c r="M15" s="56"/>
    </row>
    <row r="16" spans="2:13" ht="24" hidden="1">
      <c r="B16" s="101" t="s">
        <v>15</v>
      </c>
      <c r="C16" s="102">
        <v>188957</v>
      </c>
      <c r="D16" s="103">
        <f t="shared" si="4"/>
        <v>82298</v>
      </c>
      <c r="E16" s="103">
        <v>40812</v>
      </c>
      <c r="F16" s="104">
        <v>312067</v>
      </c>
      <c r="G16" s="105"/>
      <c r="H16" s="106">
        <f>C16/F16</f>
        <v>0.60550138271589116</v>
      </c>
      <c r="I16" s="107">
        <f t="shared" si="2"/>
        <v>0.26371900905895207</v>
      </c>
      <c r="J16" s="108">
        <f t="shared" si="3"/>
        <v>0.13077960822515677</v>
      </c>
      <c r="K16" s="318"/>
      <c r="L16" s="56"/>
      <c r="M16" s="56"/>
    </row>
    <row r="17" spans="2:13" ht="24" hidden="1">
      <c r="B17" s="148" t="s">
        <v>16</v>
      </c>
      <c r="C17" s="149">
        <v>167432</v>
      </c>
      <c r="D17" s="150">
        <f t="shared" si="4"/>
        <v>81576</v>
      </c>
      <c r="E17" s="150">
        <v>38253</v>
      </c>
      <c r="F17" s="151">
        <v>287261</v>
      </c>
      <c r="G17" s="152"/>
      <c r="H17" s="153">
        <v>0.59</v>
      </c>
      <c r="I17" s="154">
        <f t="shared" si="2"/>
        <v>0.28397868140819671</v>
      </c>
      <c r="J17" s="155">
        <f t="shared" si="3"/>
        <v>0.13316461336554561</v>
      </c>
      <c r="K17" s="313"/>
      <c r="L17" s="56"/>
      <c r="M17" s="56"/>
    </row>
    <row r="18" spans="2:13" ht="24" hidden="1">
      <c r="B18" s="77" t="s">
        <v>17</v>
      </c>
      <c r="C18" s="78">
        <v>180734</v>
      </c>
      <c r="D18" s="79">
        <f t="shared" si="4"/>
        <v>78245</v>
      </c>
      <c r="E18" s="79">
        <v>41470</v>
      </c>
      <c r="F18" s="80">
        <v>300449</v>
      </c>
      <c r="G18" s="81"/>
      <c r="H18" s="82">
        <f t="shared" ref="H18:H25" si="5">C18/F18</f>
        <v>0.60154635229273523</v>
      </c>
      <c r="I18" s="83">
        <f t="shared" si="2"/>
        <v>0.26042689441469269</v>
      </c>
      <c r="J18" s="84">
        <f t="shared" si="3"/>
        <v>0.13802675329257211</v>
      </c>
      <c r="K18" s="313"/>
      <c r="L18" s="56"/>
      <c r="M18" s="56"/>
    </row>
    <row r="19" spans="2:13" ht="24" hidden="1">
      <c r="B19" s="156" t="s">
        <v>18</v>
      </c>
      <c r="C19" s="157">
        <v>164381</v>
      </c>
      <c r="D19" s="158">
        <f t="shared" si="4"/>
        <v>76848</v>
      </c>
      <c r="E19" s="158">
        <v>38174</v>
      </c>
      <c r="F19" s="159">
        <v>279403</v>
      </c>
      <c r="G19" s="160"/>
      <c r="H19" s="161">
        <f t="shared" si="5"/>
        <v>0.58832940233283104</v>
      </c>
      <c r="I19" s="162">
        <v>0.27</v>
      </c>
      <c r="J19" s="163">
        <f t="shared" si="3"/>
        <v>0.13662702261607784</v>
      </c>
      <c r="K19" s="315"/>
      <c r="L19" s="56"/>
      <c r="M19" s="56"/>
    </row>
    <row r="20" spans="2:13" ht="24" hidden="1">
      <c r="B20" s="109" t="s">
        <v>19</v>
      </c>
      <c r="C20" s="110">
        <v>192956</v>
      </c>
      <c r="D20" s="111">
        <f t="shared" si="4"/>
        <v>73917</v>
      </c>
      <c r="E20" s="111">
        <v>43573</v>
      </c>
      <c r="F20" s="112">
        <v>310446</v>
      </c>
      <c r="G20" s="113"/>
      <c r="H20" s="114">
        <f t="shared" si="5"/>
        <v>0.62154448760815084</v>
      </c>
      <c r="I20" s="115">
        <f t="shared" ref="I20:I41" si="6">D20/F20</f>
        <v>0.23809937960224967</v>
      </c>
      <c r="J20" s="116">
        <f t="shared" si="3"/>
        <v>0.14035613278959949</v>
      </c>
      <c r="K20" s="315">
        <f>62+24+14</f>
        <v>100</v>
      </c>
      <c r="L20" s="56"/>
      <c r="M20" s="56"/>
    </row>
    <row r="21" spans="2:13" ht="24" hidden="1">
      <c r="B21" s="180" t="s">
        <v>20</v>
      </c>
      <c r="C21" s="181">
        <v>171342</v>
      </c>
      <c r="D21" s="182">
        <f t="shared" si="4"/>
        <v>75779</v>
      </c>
      <c r="E21" s="182">
        <v>42383</v>
      </c>
      <c r="F21" s="183">
        <v>289504</v>
      </c>
      <c r="G21" s="184"/>
      <c r="H21" s="185">
        <f t="shared" si="5"/>
        <v>0.59184674477727428</v>
      </c>
      <c r="I21" s="186">
        <f t="shared" si="6"/>
        <v>0.26175458715596328</v>
      </c>
      <c r="J21" s="187">
        <f t="shared" si="3"/>
        <v>0.14639866806676247</v>
      </c>
      <c r="K21" s="315">
        <f>59+26+15</f>
        <v>100</v>
      </c>
      <c r="L21" s="56"/>
      <c r="M21" s="56"/>
    </row>
    <row r="22" spans="2:13" ht="24" hidden="1">
      <c r="B22" s="188" t="s">
        <v>21</v>
      </c>
      <c r="C22" s="189">
        <v>195210</v>
      </c>
      <c r="D22" s="190">
        <f t="shared" si="4"/>
        <v>81669</v>
      </c>
      <c r="E22" s="190">
        <v>42696</v>
      </c>
      <c r="F22" s="191">
        <v>319575</v>
      </c>
      <c r="G22" s="117"/>
      <c r="H22" s="192">
        <f t="shared" si="5"/>
        <v>0.61084252522881954</v>
      </c>
      <c r="I22" s="193">
        <f t="shared" si="6"/>
        <v>0.25555503402957053</v>
      </c>
      <c r="J22" s="194">
        <f t="shared" si="3"/>
        <v>0.13360244074160996</v>
      </c>
      <c r="K22" s="315">
        <f>62+24+14</f>
        <v>100</v>
      </c>
      <c r="L22" s="56"/>
      <c r="M22" s="56"/>
    </row>
    <row r="23" spans="2:13" ht="24" hidden="1">
      <c r="B23" s="195" t="s">
        <v>22</v>
      </c>
      <c r="C23" s="196">
        <v>176356</v>
      </c>
      <c r="D23" s="197">
        <f t="shared" si="4"/>
        <v>85078</v>
      </c>
      <c r="E23" s="197">
        <v>43924</v>
      </c>
      <c r="F23" s="198">
        <v>305358</v>
      </c>
      <c r="G23" s="199"/>
      <c r="H23" s="200">
        <f t="shared" si="5"/>
        <v>0.57753849579837435</v>
      </c>
      <c r="I23" s="201">
        <f t="shared" si="6"/>
        <v>0.27861722961245489</v>
      </c>
      <c r="J23" s="202">
        <f t="shared" si="3"/>
        <v>0.14384427458917073</v>
      </c>
      <c r="K23" s="315">
        <f>59+26+15</f>
        <v>100</v>
      </c>
      <c r="L23" s="56"/>
      <c r="M23" s="56"/>
    </row>
    <row r="24" spans="2:13" ht="24" hidden="1">
      <c r="B24" s="203" t="s">
        <v>28</v>
      </c>
      <c r="C24" s="204">
        <v>213132</v>
      </c>
      <c r="D24" s="118">
        <f t="shared" si="4"/>
        <v>69903</v>
      </c>
      <c r="E24" s="118">
        <v>34630</v>
      </c>
      <c r="F24" s="205">
        <v>317665</v>
      </c>
      <c r="G24" s="119"/>
      <c r="H24" s="206">
        <f t="shared" si="5"/>
        <v>0.67093321580910703</v>
      </c>
      <c r="I24" s="120">
        <f t="shared" si="6"/>
        <v>0.22005257110478019</v>
      </c>
      <c r="J24" s="207">
        <f t="shared" si="3"/>
        <v>0.10901421308611273</v>
      </c>
      <c r="K24" s="313">
        <f>67+22+11</f>
        <v>100</v>
      </c>
      <c r="L24" s="56"/>
      <c r="M24" s="56"/>
    </row>
    <row r="25" spans="2:13" ht="24" hidden="1">
      <c r="B25" s="208" t="s">
        <v>29</v>
      </c>
      <c r="C25" s="209">
        <v>181206</v>
      </c>
      <c r="D25" s="210">
        <f t="shared" si="4"/>
        <v>78474</v>
      </c>
      <c r="E25" s="210">
        <v>35192</v>
      </c>
      <c r="F25" s="211">
        <v>294872</v>
      </c>
      <c r="G25" s="212"/>
      <c r="H25" s="213">
        <f t="shared" si="5"/>
        <v>0.61452426815703087</v>
      </c>
      <c r="I25" s="214">
        <f t="shared" si="6"/>
        <v>0.2661290322580645</v>
      </c>
      <c r="J25" s="215">
        <f t="shared" si="3"/>
        <v>0.11934669958490464</v>
      </c>
      <c r="K25" s="313">
        <f>61+27+12</f>
        <v>100</v>
      </c>
      <c r="L25" s="56"/>
      <c r="M25" s="56"/>
    </row>
    <row r="26" spans="2:13" ht="24" hidden="1">
      <c r="B26" s="216" t="s">
        <v>30</v>
      </c>
      <c r="C26" s="37">
        <v>217625</v>
      </c>
      <c r="D26" s="38">
        <f t="shared" si="4"/>
        <v>93784</v>
      </c>
      <c r="E26" s="38">
        <v>36691</v>
      </c>
      <c r="F26" s="39">
        <v>348100</v>
      </c>
      <c r="G26" s="124"/>
      <c r="H26" s="217">
        <v>0.62</v>
      </c>
      <c r="I26" s="121">
        <f t="shared" si="6"/>
        <v>0.26941683424303359</v>
      </c>
      <c r="J26" s="218">
        <f t="shared" si="3"/>
        <v>0.10540361964952599</v>
      </c>
      <c r="K26" s="313">
        <f>62+27+11</f>
        <v>100</v>
      </c>
      <c r="L26" s="56"/>
      <c r="M26" s="56"/>
    </row>
    <row r="27" spans="2:13" ht="24" hidden="1">
      <c r="B27" s="219" t="s">
        <v>31</v>
      </c>
      <c r="C27" s="220">
        <v>185692</v>
      </c>
      <c r="D27" s="221">
        <f t="shared" si="4"/>
        <v>93820</v>
      </c>
      <c r="E27" s="221">
        <v>36143</v>
      </c>
      <c r="F27" s="222">
        <v>315655</v>
      </c>
      <c r="G27" s="223"/>
      <c r="H27" s="224">
        <f t="shared" ref="H27:H42" si="7">C27/F27</f>
        <v>0.58827517384486228</v>
      </c>
      <c r="I27" s="225">
        <f t="shared" si="6"/>
        <v>0.29722323422724178</v>
      </c>
      <c r="J27" s="226">
        <f t="shared" si="3"/>
        <v>0.11450159192789597</v>
      </c>
      <c r="K27" s="319">
        <f>59+30+11</f>
        <v>100</v>
      </c>
      <c r="L27" s="76"/>
      <c r="M27" s="56"/>
    </row>
    <row r="28" spans="2:13" ht="24" hidden="1">
      <c r="B28" s="227" t="s">
        <v>32</v>
      </c>
      <c r="C28" s="40">
        <v>225132</v>
      </c>
      <c r="D28" s="41">
        <f t="shared" si="4"/>
        <v>105238</v>
      </c>
      <c r="E28" s="41">
        <v>40359</v>
      </c>
      <c r="F28" s="42">
        <v>370729</v>
      </c>
      <c r="G28" s="125"/>
      <c r="H28" s="228">
        <f t="shared" si="7"/>
        <v>0.60726838202568456</v>
      </c>
      <c r="I28" s="122">
        <f t="shared" si="6"/>
        <v>0.2838677308761926</v>
      </c>
      <c r="J28" s="229">
        <f t="shared" si="3"/>
        <v>0.10886388709812289</v>
      </c>
      <c r="K28" s="319">
        <f>62+27+11</f>
        <v>100</v>
      </c>
      <c r="L28" s="76"/>
      <c r="M28" s="56"/>
    </row>
    <row r="29" spans="2:13" ht="24" hidden="1">
      <c r="B29" s="230" t="s">
        <v>33</v>
      </c>
      <c r="C29" s="231">
        <v>190136</v>
      </c>
      <c r="D29" s="232">
        <f t="shared" si="4"/>
        <v>110352</v>
      </c>
      <c r="E29" s="232">
        <v>39251</v>
      </c>
      <c r="F29" s="233">
        <v>339739</v>
      </c>
      <c r="G29" s="234"/>
      <c r="H29" s="235">
        <f t="shared" si="7"/>
        <v>0.55965314550287137</v>
      </c>
      <c r="I29" s="236">
        <f t="shared" si="6"/>
        <v>0.3248140484312958</v>
      </c>
      <c r="J29" s="237">
        <f t="shared" si="3"/>
        <v>0.11553280606583288</v>
      </c>
      <c r="K29" s="319">
        <f>59+30+11</f>
        <v>100</v>
      </c>
      <c r="L29" s="76"/>
      <c r="M29" s="56"/>
    </row>
    <row r="30" spans="2:13" ht="24" hidden="1">
      <c r="B30" s="238" t="s">
        <v>34</v>
      </c>
      <c r="C30" s="43">
        <v>222671</v>
      </c>
      <c r="D30" s="44">
        <f t="shared" si="4"/>
        <v>119110</v>
      </c>
      <c r="E30" s="44">
        <v>42028</v>
      </c>
      <c r="F30" s="45">
        <v>383809</v>
      </c>
      <c r="G30" s="126"/>
      <c r="H30" s="239">
        <f t="shared" si="7"/>
        <v>0.58016096548022589</v>
      </c>
      <c r="I30" s="127">
        <f t="shared" si="6"/>
        <v>0.31033665182421466</v>
      </c>
      <c r="J30" s="240">
        <f t="shared" si="3"/>
        <v>0.10950238269555951</v>
      </c>
      <c r="K30" s="319">
        <f>58+31+11</f>
        <v>100</v>
      </c>
      <c r="L30" s="76"/>
      <c r="M30" s="56"/>
    </row>
    <row r="31" spans="2:13" ht="24" hidden="1">
      <c r="B31" s="241" t="s">
        <v>35</v>
      </c>
      <c r="C31" s="242">
        <v>196741</v>
      </c>
      <c r="D31" s="243">
        <f t="shared" si="4"/>
        <v>124200</v>
      </c>
      <c r="E31" s="243">
        <v>41565</v>
      </c>
      <c r="F31" s="244">
        <v>362506</v>
      </c>
      <c r="G31" s="245"/>
      <c r="H31" s="246">
        <f t="shared" si="7"/>
        <v>0.54272481007210915</v>
      </c>
      <c r="I31" s="247">
        <f t="shared" si="6"/>
        <v>0.34261501878589595</v>
      </c>
      <c r="J31" s="248">
        <v>0.12</v>
      </c>
      <c r="K31" s="320">
        <f>54+34+12</f>
        <v>100</v>
      </c>
      <c r="L31" s="76"/>
      <c r="M31" s="56"/>
    </row>
    <row r="32" spans="2:13" ht="24" hidden="1">
      <c r="B32" s="249" t="s">
        <v>23</v>
      </c>
      <c r="C32" s="46">
        <v>222144</v>
      </c>
      <c r="D32" s="47">
        <f t="shared" si="4"/>
        <v>132898</v>
      </c>
      <c r="E32" s="47">
        <v>45190</v>
      </c>
      <c r="F32" s="48">
        <v>400232</v>
      </c>
      <c r="G32" s="128"/>
      <c r="H32" s="250">
        <f t="shared" si="7"/>
        <v>0.55503807791480941</v>
      </c>
      <c r="I32" s="129">
        <f t="shared" si="6"/>
        <v>0.3320524096024306</v>
      </c>
      <c r="J32" s="251">
        <f t="shared" ref="J32:J39" si="8">E32/F32</f>
        <v>0.11290951248276</v>
      </c>
      <c r="K32" s="320">
        <f>56+33+11</f>
        <v>100</v>
      </c>
      <c r="L32" s="76"/>
      <c r="M32" s="56"/>
    </row>
    <row r="33" spans="1:13" ht="24" hidden="1">
      <c r="B33" s="252" t="s">
        <v>24</v>
      </c>
      <c r="C33" s="253">
        <v>203303</v>
      </c>
      <c r="D33" s="254">
        <f t="shared" si="4"/>
        <v>123085</v>
      </c>
      <c r="E33" s="254">
        <v>47260</v>
      </c>
      <c r="F33" s="255">
        <v>373648</v>
      </c>
      <c r="G33" s="256"/>
      <c r="H33" s="257">
        <f t="shared" si="7"/>
        <v>0.54410300603776818</v>
      </c>
      <c r="I33" s="258">
        <f t="shared" si="6"/>
        <v>0.32941431507729202</v>
      </c>
      <c r="J33" s="259">
        <f t="shared" si="8"/>
        <v>0.12648267888493983</v>
      </c>
      <c r="K33" s="320">
        <f>54+33+13</f>
        <v>100</v>
      </c>
      <c r="L33" s="76"/>
      <c r="M33" s="56"/>
    </row>
    <row r="34" spans="1:13" ht="24" hidden="1">
      <c r="B34" s="260" t="s">
        <v>25</v>
      </c>
      <c r="C34" s="49">
        <v>225968</v>
      </c>
      <c r="D34" s="50">
        <f t="shared" ref="D34:D42" si="9">F34-C34-E34</f>
        <v>155272</v>
      </c>
      <c r="E34" s="50">
        <v>53948</v>
      </c>
      <c r="F34" s="51">
        <f>475134-268-20348-19330</f>
        <v>435188</v>
      </c>
      <c r="G34" s="130"/>
      <c r="H34" s="261">
        <f t="shared" si="7"/>
        <v>0.51924225851815764</v>
      </c>
      <c r="I34" s="131">
        <f t="shared" si="6"/>
        <v>0.35679292627554071</v>
      </c>
      <c r="J34" s="262">
        <f t="shared" si="8"/>
        <v>0.12396481520630165</v>
      </c>
      <c r="K34" s="320">
        <f>52+36+12</f>
        <v>100</v>
      </c>
      <c r="L34" s="76"/>
      <c r="M34" s="56"/>
    </row>
    <row r="35" spans="1:13" ht="12">
      <c r="A35" s="296" t="s">
        <v>51</v>
      </c>
      <c r="B35" s="263" t="s">
        <v>55</v>
      </c>
      <c r="C35" s="264">
        <v>210706</v>
      </c>
      <c r="D35" s="265">
        <f t="shared" si="9"/>
        <v>147660.63999999996</v>
      </c>
      <c r="E35" s="265">
        <v>49533.43</v>
      </c>
      <c r="F35" s="266">
        <f>441460.41-16720.39-16839.95</f>
        <v>407900.06999999995</v>
      </c>
      <c r="G35" s="267"/>
      <c r="H35" s="268">
        <f t="shared" si="7"/>
        <v>0.51656279441187647</v>
      </c>
      <c r="I35" s="269">
        <f t="shared" si="6"/>
        <v>0.36200199720485454</v>
      </c>
      <c r="J35" s="270">
        <f t="shared" si="8"/>
        <v>0.12143520838326899</v>
      </c>
      <c r="K35" s="320">
        <f>52+36+12</f>
        <v>100</v>
      </c>
      <c r="L35" s="76"/>
      <c r="M35" s="56"/>
    </row>
    <row r="36" spans="1:13" ht="12">
      <c r="A36" s="296" t="s">
        <v>52</v>
      </c>
      <c r="B36" s="249" t="s">
        <v>56</v>
      </c>
      <c r="C36" s="46">
        <v>238831</v>
      </c>
      <c r="D36" s="47">
        <f t="shared" si="9"/>
        <v>166827.39999999994</v>
      </c>
      <c r="E36" s="47">
        <v>53818.6</v>
      </c>
      <c r="F36" s="48">
        <f>493177.1-22149.7-11550.4</f>
        <v>459476.99999999994</v>
      </c>
      <c r="G36" s="128"/>
      <c r="H36" s="250">
        <f t="shared" si="7"/>
        <v>0.51978880335686017</v>
      </c>
      <c r="I36" s="129">
        <f t="shared" si="6"/>
        <v>0.3630810682580411</v>
      </c>
      <c r="J36" s="251">
        <f t="shared" si="8"/>
        <v>0.11713012838509872</v>
      </c>
      <c r="K36" s="320">
        <f>52+36+12</f>
        <v>100</v>
      </c>
      <c r="L36" s="76"/>
      <c r="M36" s="56"/>
    </row>
    <row r="37" spans="1:13" ht="12">
      <c r="A37" s="296" t="s">
        <v>51</v>
      </c>
      <c r="B37" s="241" t="s">
        <v>57</v>
      </c>
      <c r="C37" s="242">
        <v>218266.1</v>
      </c>
      <c r="D37" s="243">
        <f t="shared" si="9"/>
        <v>160199.70000000001</v>
      </c>
      <c r="E37" s="243">
        <v>50835.7</v>
      </c>
      <c r="F37" s="244">
        <f>453962.2-57-16273.8-8329.9</f>
        <v>429301.5</v>
      </c>
      <c r="G37" s="245"/>
      <c r="H37" s="246">
        <f t="shared" si="7"/>
        <v>0.50842147069134402</v>
      </c>
      <c r="I37" s="247">
        <f t="shared" si="6"/>
        <v>0.37316361578051793</v>
      </c>
      <c r="J37" s="248">
        <f t="shared" si="8"/>
        <v>0.11841491352813814</v>
      </c>
      <c r="K37" s="320">
        <f>51+37+12</f>
        <v>100</v>
      </c>
      <c r="L37" s="76"/>
      <c r="M37" s="56"/>
    </row>
    <row r="38" spans="1:13" ht="12">
      <c r="A38" s="296" t="s">
        <v>52</v>
      </c>
      <c r="B38" s="323" t="s">
        <v>58</v>
      </c>
      <c r="C38" s="324">
        <v>231916.79999999999</v>
      </c>
      <c r="D38" s="325">
        <f t="shared" si="9"/>
        <v>175652.3</v>
      </c>
      <c r="E38" s="325">
        <v>53107</v>
      </c>
      <c r="F38" s="326">
        <f>497571.3-15939.9-19529.3-1426</f>
        <v>460676.1</v>
      </c>
      <c r="G38" s="132"/>
      <c r="H38" s="327">
        <f t="shared" si="7"/>
        <v>0.50342702823089802</v>
      </c>
      <c r="I38" s="328">
        <f t="shared" si="6"/>
        <v>0.38129240913518198</v>
      </c>
      <c r="J38" s="329">
        <f t="shared" si="8"/>
        <v>0.11528056263392002</v>
      </c>
      <c r="K38" s="320">
        <f>50+38+12</f>
        <v>100</v>
      </c>
      <c r="L38" s="76"/>
      <c r="M38" s="56"/>
    </row>
    <row r="39" spans="1:13" ht="12">
      <c r="A39" s="296" t="s">
        <v>51</v>
      </c>
      <c r="B39" s="271" t="s">
        <v>59</v>
      </c>
      <c r="C39" s="272">
        <v>211957</v>
      </c>
      <c r="D39" s="273">
        <f t="shared" si="9"/>
        <v>170476.59999999998</v>
      </c>
      <c r="E39" s="273">
        <v>49016</v>
      </c>
      <c r="F39" s="274">
        <f>459288-16526.4-11312</f>
        <v>431449.59999999998</v>
      </c>
      <c r="G39" s="275"/>
      <c r="H39" s="276">
        <f t="shared" si="7"/>
        <v>0.4912671143976029</v>
      </c>
      <c r="I39" s="277">
        <f t="shared" si="6"/>
        <v>0.39512517800456876</v>
      </c>
      <c r="J39" s="278">
        <f t="shared" si="8"/>
        <v>0.11360770759782834</v>
      </c>
      <c r="K39" s="320">
        <f>49+40+11</f>
        <v>100</v>
      </c>
      <c r="L39" s="76"/>
      <c r="M39" s="56"/>
    </row>
    <row r="40" spans="1:13" ht="12">
      <c r="A40" s="296" t="s">
        <v>52</v>
      </c>
      <c r="B40" s="249" t="s">
        <v>60</v>
      </c>
      <c r="C40" s="46">
        <v>222732</v>
      </c>
      <c r="D40" s="47">
        <f t="shared" si="9"/>
        <v>181530.5</v>
      </c>
      <c r="E40" s="47">
        <v>53325</v>
      </c>
      <c r="F40" s="48">
        <f>497268-2945.2-22360.7-14374.6</f>
        <v>457587.5</v>
      </c>
      <c r="G40" s="128"/>
      <c r="H40" s="250">
        <f t="shared" si="7"/>
        <v>0.48675280684022182</v>
      </c>
      <c r="I40" s="129">
        <f t="shared" si="6"/>
        <v>0.39671210424235803</v>
      </c>
      <c r="J40" s="251">
        <v>0.11</v>
      </c>
      <c r="K40" s="320">
        <f>49+40+11</f>
        <v>100</v>
      </c>
      <c r="L40" s="76"/>
      <c r="M40" s="56"/>
    </row>
    <row r="41" spans="1:13" ht="12">
      <c r="A41" s="296" t="s">
        <v>51</v>
      </c>
      <c r="B41" s="241" t="s">
        <v>61</v>
      </c>
      <c r="C41" s="242">
        <v>203344</v>
      </c>
      <c r="D41" s="243">
        <f t="shared" si="9"/>
        <v>169521.90000000002</v>
      </c>
      <c r="E41" s="243">
        <v>48517</v>
      </c>
      <c r="F41" s="244">
        <f>445779.4-603-17146.3-6647.2</f>
        <v>421382.9</v>
      </c>
      <c r="G41" s="245"/>
      <c r="H41" s="246">
        <f t="shared" si="7"/>
        <v>0.48256348323579334</v>
      </c>
      <c r="I41" s="247">
        <f t="shared" si="6"/>
        <v>0.40229895422903972</v>
      </c>
      <c r="J41" s="248">
        <f>E41/F41</f>
        <v>0.11513756253516694</v>
      </c>
      <c r="K41" s="320">
        <f>48+40+12</f>
        <v>100</v>
      </c>
      <c r="L41" s="76"/>
      <c r="M41" s="56"/>
    </row>
    <row r="42" spans="1:13" ht="12">
      <c r="A42" s="296" t="s">
        <v>52</v>
      </c>
      <c r="B42" s="323" t="s">
        <v>62</v>
      </c>
      <c r="C42" s="324">
        <v>221462.6</v>
      </c>
      <c r="D42" s="325">
        <f t="shared" si="9"/>
        <v>177514.39999999997</v>
      </c>
      <c r="E42" s="325">
        <v>51337.1</v>
      </c>
      <c r="F42" s="326">
        <f>483383.7-135-22981.9-9952.7</f>
        <v>450314.1</v>
      </c>
      <c r="G42" s="132"/>
      <c r="H42" s="327">
        <f t="shared" si="7"/>
        <v>0.49179583761645485</v>
      </c>
      <c r="I42" s="328">
        <v>0.4</v>
      </c>
      <c r="J42" s="329">
        <v>0.11</v>
      </c>
      <c r="K42" s="320">
        <f>49+40+11</f>
        <v>100</v>
      </c>
      <c r="L42" s="76"/>
      <c r="M42" s="56"/>
    </row>
    <row r="43" spans="1:13" ht="12">
      <c r="A43" s="296" t="s">
        <v>51</v>
      </c>
      <c r="B43" s="271" t="s">
        <v>63</v>
      </c>
      <c r="C43" s="272">
        <v>191437.3</v>
      </c>
      <c r="D43" s="273">
        <f t="shared" ref="D43" si="10">F43-C43-E43</f>
        <v>168047.80000000005</v>
      </c>
      <c r="E43" s="273">
        <v>50631</v>
      </c>
      <c r="F43" s="274">
        <f>438267.7-17815.5-10336.1</f>
        <v>410116.10000000003</v>
      </c>
      <c r="G43" s="275"/>
      <c r="H43" s="276">
        <f t="shared" ref="H43:H44" si="11">C43/F43</f>
        <v>0.46678806318503463</v>
      </c>
      <c r="I43" s="277">
        <f>D43/F43</f>
        <v>0.40975665183590704</v>
      </c>
      <c r="J43" s="278">
        <f t="shared" ref="J43:J48" si="12">E43/F43</f>
        <v>0.12345528497905836</v>
      </c>
      <c r="K43" s="320">
        <f>47+41+12</f>
        <v>100</v>
      </c>
      <c r="L43" s="76"/>
      <c r="M43" s="56"/>
    </row>
    <row r="44" spans="1:13" ht="12">
      <c r="A44" s="296" t="s">
        <v>52</v>
      </c>
      <c r="B44" s="336" t="s">
        <v>64</v>
      </c>
      <c r="C44" s="337">
        <v>204740.7</v>
      </c>
      <c r="D44" s="338">
        <f>F44-C44-E44</f>
        <v>171799.39999999994</v>
      </c>
      <c r="E44" s="338">
        <v>53370.6</v>
      </c>
      <c r="F44" s="339">
        <f>460102.1-20415.5-9775.9</f>
        <v>429910.69999999995</v>
      </c>
      <c r="G44" s="128"/>
      <c r="H44" s="340">
        <f t="shared" si="11"/>
        <v>0.47624006566945187</v>
      </c>
      <c r="I44" s="341">
        <f>D44/F44</f>
        <v>0.39961647849192855</v>
      </c>
      <c r="J44" s="342">
        <f t="shared" si="12"/>
        <v>0.12414345583861952</v>
      </c>
      <c r="K44" s="320">
        <f>48+40+12</f>
        <v>100</v>
      </c>
      <c r="L44" s="76"/>
      <c r="M44" s="56"/>
    </row>
    <row r="45" spans="1:13" ht="12">
      <c r="A45" s="296" t="s">
        <v>51</v>
      </c>
      <c r="B45" s="241" t="s">
        <v>65</v>
      </c>
      <c r="C45" s="242">
        <v>177980.1</v>
      </c>
      <c r="D45" s="243">
        <f>F45-C45-E45</f>
        <v>169568.10000000003</v>
      </c>
      <c r="E45" s="243">
        <v>50283.7</v>
      </c>
      <c r="F45" s="244">
        <f>419270.7-1678.7-12281.5-7478.6</f>
        <v>397831.9</v>
      </c>
      <c r="G45" s="245"/>
      <c r="H45" s="246">
        <f>C45/F45</f>
        <v>0.4473751350758951</v>
      </c>
      <c r="I45" s="247">
        <v>0.42</v>
      </c>
      <c r="J45" s="248">
        <f t="shared" si="12"/>
        <v>0.12639433891550675</v>
      </c>
      <c r="K45" s="320">
        <f>45+42+13</f>
        <v>100</v>
      </c>
      <c r="L45" s="76"/>
      <c r="M45" s="56"/>
    </row>
    <row r="46" spans="1:13" ht="12">
      <c r="A46" s="296" t="s">
        <v>52</v>
      </c>
      <c r="B46" s="133" t="s">
        <v>66</v>
      </c>
      <c r="C46" s="134">
        <v>190649.5</v>
      </c>
      <c r="D46" s="135">
        <f>F46-C46-E46</f>
        <v>166677.70000000001</v>
      </c>
      <c r="E46" s="135">
        <v>45457.7</v>
      </c>
      <c r="F46" s="136">
        <f>441290-12704.3-18324.7-7476.1</f>
        <v>402784.9</v>
      </c>
      <c r="G46" s="132"/>
      <c r="H46" s="137">
        <v>0.48</v>
      </c>
      <c r="I46" s="138">
        <f>D46/F46</f>
        <v>0.41381317919316241</v>
      </c>
      <c r="J46" s="139">
        <f t="shared" si="12"/>
        <v>0.11285850090209439</v>
      </c>
      <c r="K46" s="320">
        <f>48+41+11</f>
        <v>100</v>
      </c>
      <c r="L46" s="76"/>
      <c r="M46" s="56"/>
    </row>
    <row r="47" spans="1:13" ht="12">
      <c r="A47" s="296" t="s">
        <v>51</v>
      </c>
      <c r="B47" s="271" t="s">
        <v>67</v>
      </c>
      <c r="C47" s="272">
        <v>168587.2</v>
      </c>
      <c r="D47" s="273">
        <f t="shared" ref="D47:D48" si="13">F47-C47-E47</f>
        <v>166232.4</v>
      </c>
      <c r="E47" s="273">
        <v>44166.9</v>
      </c>
      <c r="F47" s="274">
        <f>407233.1-7288.6-11905.1-9052.9</f>
        <v>378986.5</v>
      </c>
      <c r="G47" s="275"/>
      <c r="H47" s="346">
        <f>C47/F47</f>
        <v>0.4448369532951702</v>
      </c>
      <c r="I47" s="138">
        <f>D47/F47</f>
        <v>0.4386235393609007</v>
      </c>
      <c r="J47" s="278">
        <f t="shared" si="12"/>
        <v>0.11653950734392914</v>
      </c>
      <c r="K47" s="320">
        <f>45+42+13</f>
        <v>100</v>
      </c>
      <c r="L47" s="76"/>
      <c r="M47" s="56"/>
    </row>
    <row r="48" spans="1:13" ht="12">
      <c r="A48" s="296"/>
      <c r="B48" s="336" t="s">
        <v>70</v>
      </c>
      <c r="C48" s="337">
        <v>180420.7</v>
      </c>
      <c r="D48" s="338">
        <f t="shared" si="13"/>
        <v>153978.30000000002</v>
      </c>
      <c r="E48" s="338">
        <v>45299.9</v>
      </c>
      <c r="F48" s="339">
        <f>421577.4-16654.2-18121.5-7102.8</f>
        <v>379698.9</v>
      </c>
      <c r="G48" s="128"/>
      <c r="H48" s="340">
        <v>0.47</v>
      </c>
      <c r="I48" s="341">
        <f>D48/F48</f>
        <v>0.40552737972114222</v>
      </c>
      <c r="J48" s="342">
        <f t="shared" si="12"/>
        <v>0.11930479651113027</v>
      </c>
      <c r="K48" s="320">
        <f>47+41+12</f>
        <v>100</v>
      </c>
      <c r="L48" s="76"/>
      <c r="M48" s="56"/>
    </row>
    <row r="49" spans="2:13" hidden="1"/>
    <row r="50" spans="2:13" hidden="1"/>
    <row r="51" spans="2:13" ht="12" hidden="1">
      <c r="B51" s="52"/>
      <c r="C51" s="75"/>
      <c r="D51" s="75"/>
      <c r="E51" s="75"/>
      <c r="F51" s="75"/>
      <c r="G51" s="75"/>
      <c r="H51" s="75"/>
      <c r="I51" s="75"/>
      <c r="J51" s="75"/>
      <c r="K51" s="319"/>
      <c r="L51" s="76"/>
      <c r="M51" s="56"/>
    </row>
    <row r="52" spans="2:13" ht="12" hidden="1">
      <c r="B52" s="52"/>
      <c r="C52" s="75"/>
      <c r="D52" s="75"/>
      <c r="E52" s="75"/>
      <c r="F52" s="75"/>
      <c r="G52" s="75"/>
      <c r="H52" s="75"/>
      <c r="I52" s="75"/>
      <c r="J52" s="75"/>
      <c r="K52" s="319"/>
      <c r="L52" s="76"/>
      <c r="M52" s="56"/>
    </row>
    <row r="53" spans="2:13" ht="12">
      <c r="B53" s="52"/>
      <c r="C53" s="75"/>
      <c r="D53" s="75"/>
      <c r="E53" s="75"/>
      <c r="F53" s="345"/>
      <c r="G53" s="75"/>
      <c r="H53" s="75"/>
      <c r="I53" s="75"/>
      <c r="J53" s="75"/>
      <c r="K53" s="319"/>
      <c r="L53" s="76"/>
      <c r="M53" s="56"/>
    </row>
    <row r="54" spans="2:13" ht="15.6">
      <c r="B54" s="289" t="s">
        <v>41</v>
      </c>
      <c r="C54" s="288"/>
      <c r="D54" s="288"/>
      <c r="E54" s="288"/>
      <c r="F54" s="288"/>
      <c r="G54" s="288"/>
      <c r="H54" s="288"/>
      <c r="I54" s="288"/>
      <c r="J54" s="288"/>
      <c r="K54" s="319"/>
      <c r="L54" s="76"/>
      <c r="M54" s="56"/>
    </row>
    <row r="55" spans="2:13">
      <c r="K55" s="319"/>
      <c r="L55" s="76"/>
      <c r="M55" s="56"/>
    </row>
    <row r="56" spans="2:13">
      <c r="B56" s="54"/>
      <c r="K56" s="319"/>
      <c r="L56" s="76"/>
      <c r="M56" s="56"/>
    </row>
    <row r="57" spans="2:13" ht="12">
      <c r="B57" s="54"/>
      <c r="C57" s="351" t="s">
        <v>1</v>
      </c>
      <c r="D57" s="352"/>
      <c r="E57" s="352"/>
      <c r="F57" s="353"/>
      <c r="G57" s="56"/>
      <c r="H57" s="351" t="s">
        <v>2</v>
      </c>
      <c r="I57" s="352"/>
      <c r="J57" s="353"/>
      <c r="K57" s="319"/>
      <c r="L57" s="76"/>
      <c r="M57" s="56"/>
    </row>
    <row r="58" spans="2:13" ht="48">
      <c r="B58" s="290" t="s">
        <v>42</v>
      </c>
      <c r="C58" s="279" t="s">
        <v>27</v>
      </c>
      <c r="D58" s="281" t="s">
        <v>26</v>
      </c>
      <c r="E58" s="282" t="s">
        <v>4</v>
      </c>
      <c r="F58" s="280" t="s">
        <v>3</v>
      </c>
      <c r="G58" s="58"/>
      <c r="H58" s="279" t="s">
        <v>27</v>
      </c>
      <c r="I58" s="281" t="s">
        <v>26</v>
      </c>
      <c r="J58" s="282" t="s">
        <v>4</v>
      </c>
      <c r="K58" s="319"/>
      <c r="L58" s="76"/>
      <c r="M58" s="56"/>
    </row>
    <row r="59" spans="2:13" ht="12">
      <c r="B59" s="298">
        <v>2015</v>
      </c>
      <c r="C59" s="299">
        <v>17336</v>
      </c>
      <c r="D59" s="299">
        <f>F59-C59-E59</f>
        <v>16565.2</v>
      </c>
      <c r="E59" s="299">
        <v>7988.2</v>
      </c>
      <c r="F59" s="299">
        <f>45939-2369.1-1680.5</f>
        <v>41889.4</v>
      </c>
      <c r="G59" s="300"/>
      <c r="H59" s="301">
        <f>C59/F59</f>
        <v>0.41385171427616529</v>
      </c>
      <c r="I59" s="301">
        <f>D59/F59</f>
        <v>0.39545087778769811</v>
      </c>
      <c r="J59" s="302">
        <f>E59/F59</f>
        <v>0.19069740793613657</v>
      </c>
      <c r="K59" s="319"/>
      <c r="L59" s="76"/>
      <c r="M59" s="56"/>
    </row>
    <row r="60" spans="2:13" ht="12">
      <c r="B60" s="303">
        <v>2016</v>
      </c>
      <c r="C60" s="304">
        <v>17660.8</v>
      </c>
      <c r="D60" s="304">
        <f t="shared" ref="D60:D63" si="14">F60-C60-E60</f>
        <v>18757.800000000003</v>
      </c>
      <c r="E60" s="304">
        <v>7770.8</v>
      </c>
      <c r="F60" s="304">
        <f>47279.9-2144.4-946.1</f>
        <v>44189.4</v>
      </c>
      <c r="G60" s="305"/>
      <c r="H60" s="306">
        <f t="shared" ref="H60:H63" si="15">C60/F60</f>
        <v>0.39966145727255853</v>
      </c>
      <c r="I60" s="306">
        <f t="shared" ref="I60:I63" si="16">D60/F60</f>
        <v>0.42448641529416564</v>
      </c>
      <c r="J60" s="307">
        <f t="shared" ref="J60:J63" si="17">E60/F60</f>
        <v>0.17585212743327586</v>
      </c>
      <c r="K60" s="319"/>
      <c r="L60" s="76"/>
      <c r="M60" s="56"/>
    </row>
    <row r="61" spans="2:13" ht="12">
      <c r="B61" s="303">
        <v>2017</v>
      </c>
      <c r="C61" s="304">
        <v>15987.2</v>
      </c>
      <c r="D61" s="304">
        <f t="shared" si="14"/>
        <v>18944.300000000003</v>
      </c>
      <c r="E61" s="304">
        <v>7033.4</v>
      </c>
      <c r="F61" s="304">
        <f>45158-12-2268-913.1</f>
        <v>41964.9</v>
      </c>
      <c r="G61" s="305"/>
      <c r="H61" s="306">
        <f t="shared" si="15"/>
        <v>0.38096599777433043</v>
      </c>
      <c r="I61" s="306">
        <f t="shared" si="16"/>
        <v>0.45143203010134664</v>
      </c>
      <c r="J61" s="307">
        <f t="shared" si="17"/>
        <v>0.16760197212432293</v>
      </c>
      <c r="K61" s="319"/>
      <c r="L61" s="76"/>
      <c r="M61" s="56"/>
    </row>
    <row r="62" spans="2:13" ht="12">
      <c r="B62" s="303">
        <v>2018</v>
      </c>
      <c r="C62" s="304">
        <v>13802</v>
      </c>
      <c r="D62" s="304">
        <f t="shared" si="14"/>
        <v>18917.900000000001</v>
      </c>
      <c r="E62" s="304">
        <v>7229.6</v>
      </c>
      <c r="F62" s="304">
        <f>43386.3-2130.5-1306.3</f>
        <v>39949.5</v>
      </c>
      <c r="G62" s="305"/>
      <c r="H62" s="306">
        <f t="shared" si="15"/>
        <v>0.34548617629757566</v>
      </c>
      <c r="I62" s="306">
        <f t="shared" si="16"/>
        <v>0.47354535100564465</v>
      </c>
      <c r="J62" s="307">
        <f t="shared" si="17"/>
        <v>0.18096847269677968</v>
      </c>
      <c r="K62" s="319"/>
      <c r="L62" s="76"/>
      <c r="M62" s="56"/>
    </row>
    <row r="63" spans="2:13" ht="12">
      <c r="B63" s="303">
        <v>2019</v>
      </c>
      <c r="C63" s="304">
        <v>13159.3</v>
      </c>
      <c r="D63" s="304">
        <f t="shared" si="14"/>
        <v>17454.300000000003</v>
      </c>
      <c r="E63" s="304">
        <v>6583.8</v>
      </c>
      <c r="F63" s="304">
        <f>40761.3-2175.4-1388.5</f>
        <v>37197.4</v>
      </c>
      <c r="G63" s="305"/>
      <c r="H63" s="306">
        <f t="shared" si="15"/>
        <v>0.35376934947066191</v>
      </c>
      <c r="I63" s="306">
        <f t="shared" si="16"/>
        <v>0.46923440885653306</v>
      </c>
      <c r="J63" s="307">
        <f t="shared" si="17"/>
        <v>0.17699624167280509</v>
      </c>
      <c r="K63" s="319"/>
      <c r="L63" s="76"/>
      <c r="M63" s="56"/>
    </row>
    <row r="64" spans="2:13" ht="13.2">
      <c r="B64" s="303">
        <v>2020</v>
      </c>
      <c r="C64" s="304">
        <v>12492.6</v>
      </c>
      <c r="D64" s="304">
        <f>F64-C64-E64</f>
        <v>18623.600000000006</v>
      </c>
      <c r="E64" s="304">
        <v>6525.1</v>
      </c>
      <c r="F64" s="304">
        <f>40392.3-644.3-1220.1-886.6</f>
        <v>37641.300000000003</v>
      </c>
      <c r="G64" s="305"/>
      <c r="H64" s="306">
        <f>C64/F64</f>
        <v>0.33188545560328681</v>
      </c>
      <c r="I64" s="306">
        <f>D64/F64</f>
        <v>0.49476505859255671</v>
      </c>
      <c r="J64" s="307">
        <f>E64/F64</f>
        <v>0.1733494858041566</v>
      </c>
      <c r="K64" s="321"/>
    </row>
    <row r="65" spans="2:11" ht="13.2">
      <c r="B65" s="303">
        <v>2021</v>
      </c>
      <c r="C65" s="304">
        <v>8230.2999999999993</v>
      </c>
      <c r="D65" s="304">
        <v>13855.4</v>
      </c>
      <c r="E65" s="304">
        <v>6197.6</v>
      </c>
      <c r="F65" s="343">
        <f>30636.1-495.3-776.4-1081.1</f>
        <v>28283.3</v>
      </c>
      <c r="G65" s="53"/>
      <c r="H65" s="306">
        <f>C65/F65</f>
        <v>0.29099503947559158</v>
      </c>
      <c r="I65" s="306">
        <f>D65/F65</f>
        <v>0.48987918665785107</v>
      </c>
      <c r="J65" s="307">
        <f>E65/F65</f>
        <v>0.21912577386655732</v>
      </c>
      <c r="K65" s="321"/>
    </row>
    <row r="66" spans="2:11" ht="13.2" hidden="1">
      <c r="H66"/>
      <c r="I66"/>
      <c r="J66"/>
      <c r="K66" s="321"/>
    </row>
    <row r="67" spans="2:11" ht="13.2" hidden="1">
      <c r="H67"/>
      <c r="I67"/>
      <c r="J67"/>
      <c r="K67" s="292"/>
    </row>
    <row r="68" spans="2:11" ht="15">
      <c r="F68" s="344"/>
      <c r="K68" s="322"/>
    </row>
    <row r="69" spans="2:11" s="288" customFormat="1" ht="15.6">
      <c r="B69" s="287" t="s">
        <v>72</v>
      </c>
      <c r="K69" s="292"/>
    </row>
    <row r="70" spans="2:11">
      <c r="K70" s="292"/>
    </row>
    <row r="71" spans="2:11">
      <c r="B71" s="54"/>
      <c r="K71" s="292"/>
    </row>
    <row r="72" spans="2:11" ht="12">
      <c r="B72" s="54"/>
      <c r="C72" s="351" t="s">
        <v>1</v>
      </c>
      <c r="D72" s="352"/>
      <c r="E72" s="352"/>
      <c r="F72" s="353"/>
      <c r="G72" s="56"/>
      <c r="H72" s="351" t="s">
        <v>2</v>
      </c>
      <c r="I72" s="352"/>
      <c r="J72" s="353"/>
      <c r="K72" s="292"/>
    </row>
    <row r="73" spans="2:11" ht="48">
      <c r="B73" s="290" t="s">
        <v>49</v>
      </c>
      <c r="C73" s="279" t="s">
        <v>27</v>
      </c>
      <c r="D73" s="281" t="s">
        <v>26</v>
      </c>
      <c r="E73" s="282" t="s">
        <v>4</v>
      </c>
      <c r="F73" s="280" t="s">
        <v>3</v>
      </c>
      <c r="G73" s="58"/>
      <c r="H73" s="279" t="s">
        <v>27</v>
      </c>
      <c r="I73" s="281" t="s">
        <v>26</v>
      </c>
      <c r="J73" s="282" t="s">
        <v>4</v>
      </c>
      <c r="K73" s="292"/>
    </row>
    <row r="74" spans="2:11" ht="15" customHeight="1">
      <c r="B74" s="308" t="s">
        <v>43</v>
      </c>
      <c r="C74" s="309">
        <f>C59+C36+C37</f>
        <v>474433.1</v>
      </c>
      <c r="D74" s="299">
        <f>F74-C74-E74</f>
        <v>343592.29999999993</v>
      </c>
      <c r="E74" s="299">
        <f>E59+E36+E37</f>
        <v>112642.5</v>
      </c>
      <c r="F74" s="299">
        <f>F59+F36+F37</f>
        <v>930667.89999999991</v>
      </c>
      <c r="G74" s="300"/>
      <c r="H74" s="301">
        <f>C74/F74</f>
        <v>0.50977701068232828</v>
      </c>
      <c r="I74" s="301">
        <f>D74/F74</f>
        <v>0.36918894484273063</v>
      </c>
      <c r="J74" s="302">
        <f>E74/F74</f>
        <v>0.12103404447494108</v>
      </c>
      <c r="K74" s="292">
        <f>51+37+12</f>
        <v>100</v>
      </c>
    </row>
    <row r="75" spans="2:11" ht="15" customHeight="1">
      <c r="B75" s="310" t="s">
        <v>44</v>
      </c>
      <c r="C75" s="304">
        <f>C60+C38+C39</f>
        <v>461534.6</v>
      </c>
      <c r="D75" s="304">
        <f t="shared" ref="D75:D78" si="18">F75-C75-E75</f>
        <v>364886.7</v>
      </c>
      <c r="E75" s="304">
        <f>E60+E38+E39</f>
        <v>109893.8</v>
      </c>
      <c r="F75" s="304">
        <f>F60+F38+F39</f>
        <v>936315.1</v>
      </c>
      <c r="G75" s="305"/>
      <c r="H75" s="306">
        <f t="shared" ref="H75:H78" si="19">C75/F75</f>
        <v>0.49292657995155692</v>
      </c>
      <c r="I75" s="306">
        <f t="shared" ref="I75:I79" si="20">D75/F75</f>
        <v>0.38970502558380188</v>
      </c>
      <c r="J75" s="307">
        <f t="shared" ref="J75:J79" si="21">E75/F75</f>
        <v>0.11736839446464124</v>
      </c>
      <c r="K75" s="292">
        <f>49+39+12</f>
        <v>100</v>
      </c>
    </row>
    <row r="76" spans="2:11" ht="15" customHeight="1">
      <c r="B76" s="310" t="s">
        <v>45</v>
      </c>
      <c r="C76" s="304">
        <f>C61+C40+C41</f>
        <v>442063.2</v>
      </c>
      <c r="D76" s="304">
        <f t="shared" si="18"/>
        <v>369996.70000000007</v>
      </c>
      <c r="E76" s="304">
        <f>E61+E40+E41</f>
        <v>108875.4</v>
      </c>
      <c r="F76" s="304">
        <f>F61+F40+F41</f>
        <v>920935.3</v>
      </c>
      <c r="G76" s="305"/>
      <c r="H76" s="306">
        <f t="shared" si="19"/>
        <v>0.48001547991482135</v>
      </c>
      <c r="I76" s="306">
        <f t="shared" si="20"/>
        <v>0.40176188272943825</v>
      </c>
      <c r="J76" s="307">
        <f t="shared" si="21"/>
        <v>0.1182226373557404</v>
      </c>
      <c r="K76" s="292">
        <f>48+40+12</f>
        <v>100</v>
      </c>
    </row>
    <row r="77" spans="2:11" ht="15" customHeight="1">
      <c r="B77" s="310" t="s">
        <v>46</v>
      </c>
      <c r="C77" s="304">
        <f>C62+C42+C43</f>
        <v>426701.9</v>
      </c>
      <c r="D77" s="304">
        <f t="shared" si="18"/>
        <v>364480.09999999992</v>
      </c>
      <c r="E77" s="304">
        <f>E62+E42+E43</f>
        <v>109197.7</v>
      </c>
      <c r="F77" s="304">
        <f>F62+F42+F43</f>
        <v>900379.7</v>
      </c>
      <c r="G77" s="305"/>
      <c r="H77" s="311">
        <f t="shared" si="19"/>
        <v>0.47391328347362788</v>
      </c>
      <c r="I77" s="311">
        <v>0.41</v>
      </c>
      <c r="J77" s="312">
        <f t="shared" si="21"/>
        <v>0.12127961125733955</v>
      </c>
      <c r="K77" s="292">
        <f>47+41+12</f>
        <v>100</v>
      </c>
    </row>
    <row r="78" spans="2:11" ht="15" customHeight="1">
      <c r="B78" s="310" t="s">
        <v>47</v>
      </c>
      <c r="C78" s="304">
        <f>C63+C44+C45</f>
        <v>395880.1</v>
      </c>
      <c r="D78" s="304">
        <f t="shared" si="18"/>
        <v>358821.80000000005</v>
      </c>
      <c r="E78" s="304">
        <f>E63+E44+E45</f>
        <v>110238.1</v>
      </c>
      <c r="F78" s="304">
        <f>F63+F44+F45</f>
        <v>864940</v>
      </c>
      <c r="G78" s="305"/>
      <c r="H78" s="306">
        <f t="shared" si="19"/>
        <v>0.45769660323259415</v>
      </c>
      <c r="I78" s="306">
        <f t="shared" si="20"/>
        <v>0.4148516660115153</v>
      </c>
      <c r="J78" s="307">
        <f t="shared" si="21"/>
        <v>0.12745173075589059</v>
      </c>
      <c r="K78" s="292">
        <f>46+41+13</f>
        <v>100</v>
      </c>
    </row>
    <row r="79" spans="2:11" s="291" customFormat="1" ht="12">
      <c r="B79" s="330" t="s">
        <v>48</v>
      </c>
      <c r="C79" s="331">
        <f>C64+C46+C47</f>
        <v>371729.30000000005</v>
      </c>
      <c r="D79" s="331">
        <f>D64+D46+D47</f>
        <v>351533.7</v>
      </c>
      <c r="E79" s="331">
        <f>E64+E46+E47</f>
        <v>96149.7</v>
      </c>
      <c r="F79" s="331">
        <f>F64+F46+F47</f>
        <v>819412.7</v>
      </c>
      <c r="G79" s="332"/>
      <c r="H79" s="333">
        <f>C79/F79</f>
        <v>0.45365333000086533</v>
      </c>
      <c r="I79" s="333">
        <f t="shared" si="20"/>
        <v>0.42900689725702329</v>
      </c>
      <c r="J79" s="334">
        <f t="shared" si="21"/>
        <v>0.11733977274211152</v>
      </c>
      <c r="K79" s="335">
        <f>45+43+12</f>
        <v>100</v>
      </c>
    </row>
  </sheetData>
  <mergeCells count="6">
    <mergeCell ref="H4:J4"/>
    <mergeCell ref="C4:F4"/>
    <mergeCell ref="C72:F72"/>
    <mergeCell ref="H72:J72"/>
    <mergeCell ref="C57:F57"/>
    <mergeCell ref="H57:J57"/>
  </mergeCells>
  <pageMargins left="0.4" right="0.4" top="0.34" bottom="0.4" header="0.3" footer="0.4"/>
  <pageSetup scale="95" orientation="portrait" r:id="rId1"/>
  <headerFooter>
    <oddFooter xml:space="preserve">&amp;R&amp;F; &amp;A;&amp;D; nkd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 Taught by Fac TA</vt:lpstr>
      <vt:lpstr>Data for Chart</vt:lpstr>
      <vt:lpstr>'SCH Taught by Fac 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2021-04-14T16:28:22Z</cp:lastPrinted>
  <dcterms:created xsi:type="dcterms:W3CDTF">1999-06-24T14:43:44Z</dcterms:created>
  <dcterms:modified xsi:type="dcterms:W3CDTF">2021-12-01T16:00:56Z</dcterms:modified>
</cp:coreProperties>
</file>