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H:\IR Staff\Fact Book\Fact Book Pages 2021-22\__Ready for Review\"/>
    </mc:Choice>
  </mc:AlternateContent>
  <bookViews>
    <workbookView xWindow="0" yWindow="0" windowWidth="19308" windowHeight="13764"/>
  </bookViews>
  <sheets>
    <sheet name="Average Section Size " sheetId="1" r:id="rId1"/>
    <sheet name="Ave Section Calc " sheetId="2" state="hidden" r:id="rId2"/>
    <sheet name="Data for UG graph" sheetId="6" state="hidden" r:id="rId3"/>
    <sheet name="Data for Grad Graph" sheetId="7" state="hidden" r:id="rId4"/>
    <sheet name="Keep1" sheetId="3" state="hidden" r:id="rId5"/>
    <sheet name="Keep2" sheetId="4" state="hidden" r:id="rId6"/>
    <sheet name="Keep3" sheetId="5" state="hidden" r:id="rId7"/>
  </sheets>
  <definedNames>
    <definedName name="_xlnm.Print_Area" localSheetId="1">'Ave Section Calc '!$B$1:$K$458</definedName>
    <definedName name="_xlnm.Print_Area" localSheetId="0">'Average Section Size '!$A$1:$BL$90</definedName>
    <definedName name="_xlnm.Print_Area" localSheetId="2">'Data for UG graph'!$A$2:$CO$11</definedName>
    <definedName name="_xlnm.Print_Area" localSheetId="4">Keep1!$A$1:$AF$40</definedName>
    <definedName name="_xlnm.Print_Area" localSheetId="5">Keep2!$A$1:$AF$12</definedName>
    <definedName name="_xlnm.Print_Area" localSheetId="6">Keep3!$A$2:$AQ$13</definedName>
  </definedNames>
  <calcPr calcId="162913"/>
</workbook>
</file>

<file path=xl/calcChain.xml><?xml version="1.0" encoding="utf-8"?>
<calcChain xmlns="http://schemas.openxmlformats.org/spreadsheetml/2006/main">
  <c r="G8" i="2" l="1"/>
  <c r="F8" i="2"/>
  <c r="D8" i="2"/>
  <c r="C8" i="2"/>
  <c r="G23" i="2"/>
  <c r="F23" i="2"/>
  <c r="D23" i="2"/>
  <c r="C23" i="2"/>
  <c r="C10" i="2" l="1"/>
  <c r="D25" i="2"/>
  <c r="C25" i="2"/>
  <c r="F7" i="2"/>
  <c r="D7" i="2"/>
  <c r="C7" i="2"/>
  <c r="F22" i="2"/>
  <c r="C22" i="2"/>
  <c r="F3" i="2"/>
  <c r="D3" i="2"/>
  <c r="C3" i="2"/>
  <c r="F18" i="2"/>
  <c r="C18" i="2"/>
  <c r="G27" i="2" l="1"/>
  <c r="F27" i="2"/>
  <c r="D27" i="2"/>
  <c r="C27" i="2"/>
  <c r="J25" i="2"/>
  <c r="I25" i="2"/>
  <c r="H25" i="2"/>
  <c r="E25" i="2"/>
  <c r="J23" i="2"/>
  <c r="I23" i="2"/>
  <c r="H23" i="2"/>
  <c r="E23" i="2"/>
  <c r="J22" i="2"/>
  <c r="I22" i="2"/>
  <c r="H22" i="2"/>
  <c r="E22" i="2"/>
  <c r="J21" i="2"/>
  <c r="I21" i="2"/>
  <c r="H21" i="2"/>
  <c r="E21" i="2"/>
  <c r="J20" i="2"/>
  <c r="I20" i="2"/>
  <c r="H20" i="2"/>
  <c r="E20" i="2"/>
  <c r="J19" i="2"/>
  <c r="I19" i="2"/>
  <c r="H19" i="2"/>
  <c r="E19" i="2"/>
  <c r="J18" i="2"/>
  <c r="I18" i="2"/>
  <c r="H18" i="2"/>
  <c r="E18" i="2"/>
  <c r="G12" i="2"/>
  <c r="F12" i="2"/>
  <c r="D12" i="2"/>
  <c r="C12" i="2"/>
  <c r="J10" i="2"/>
  <c r="I10" i="2"/>
  <c r="H10" i="2"/>
  <c r="E10" i="2"/>
  <c r="J8" i="2"/>
  <c r="I8" i="2"/>
  <c r="H8" i="2"/>
  <c r="E8" i="2"/>
  <c r="J7" i="2"/>
  <c r="I7" i="2"/>
  <c r="H7" i="2"/>
  <c r="E7" i="2"/>
  <c r="J6" i="2"/>
  <c r="I6" i="2"/>
  <c r="H6" i="2"/>
  <c r="E6" i="2"/>
  <c r="J5" i="2"/>
  <c r="I5" i="2"/>
  <c r="H5" i="2"/>
  <c r="E5" i="2"/>
  <c r="J4" i="2"/>
  <c r="I4" i="2"/>
  <c r="H4" i="2"/>
  <c r="E4" i="2"/>
  <c r="J3" i="2"/>
  <c r="I3" i="2"/>
  <c r="H3" i="2"/>
  <c r="E3" i="2"/>
  <c r="K21" i="2" l="1"/>
  <c r="K4" i="2"/>
  <c r="K25" i="2"/>
  <c r="K10" i="2"/>
  <c r="I27" i="2"/>
  <c r="K22" i="2"/>
  <c r="J27" i="2"/>
  <c r="K20" i="2"/>
  <c r="K18" i="2"/>
  <c r="K23" i="2"/>
  <c r="K19" i="2"/>
  <c r="K5" i="2"/>
  <c r="K8" i="2"/>
  <c r="I12" i="2"/>
  <c r="J12" i="2"/>
  <c r="K3" i="2"/>
  <c r="K6" i="2"/>
  <c r="K7" i="2"/>
  <c r="CF5" i="6"/>
  <c r="BS5" i="6"/>
  <c r="BE5" i="6"/>
  <c r="AQ5" i="6"/>
  <c r="AC5" i="6"/>
  <c r="O5" i="6"/>
  <c r="CA6" i="7"/>
  <c r="BZ6" i="7"/>
  <c r="BN6" i="7"/>
  <c r="BM6" i="7"/>
  <c r="BA6" i="7"/>
  <c r="AZ6" i="7"/>
  <c r="AN6" i="7"/>
  <c r="AM6" i="7"/>
  <c r="AA6" i="7"/>
  <c r="Z6" i="7"/>
  <c r="N6" i="7"/>
  <c r="M6" i="7"/>
  <c r="G6" i="7" l="1"/>
  <c r="H6" i="7"/>
  <c r="I6" i="7"/>
  <c r="J6" i="7"/>
  <c r="K6" i="7"/>
  <c r="L6" i="7"/>
  <c r="T6" i="7"/>
  <c r="U6" i="7"/>
  <c r="V6" i="7"/>
  <c r="W6" i="7"/>
  <c r="X6" i="7"/>
  <c r="Y6" i="7"/>
  <c r="AG6" i="7"/>
  <c r="AH6" i="7"/>
  <c r="AI6" i="7"/>
  <c r="AJ6" i="7"/>
  <c r="AK6" i="7"/>
  <c r="AL6" i="7"/>
  <c r="AT6" i="7"/>
  <c r="AU6" i="7"/>
  <c r="AV6" i="7"/>
  <c r="AW6" i="7"/>
  <c r="AX6" i="7"/>
  <c r="AY6" i="7"/>
  <c r="BG6" i="7"/>
  <c r="BH6" i="7"/>
  <c r="BI6" i="7"/>
  <c r="BJ6" i="7"/>
  <c r="BK6" i="7"/>
  <c r="BL6" i="7"/>
  <c r="BT6" i="7"/>
  <c r="BU6" i="7"/>
  <c r="BV6" i="7"/>
  <c r="BW6" i="7"/>
  <c r="BX6" i="7"/>
  <c r="BY6" i="7"/>
  <c r="BS6" i="7"/>
  <c r="BF6" i="7"/>
  <c r="AS6" i="7"/>
  <c r="AF6" i="7"/>
  <c r="S6" i="7"/>
  <c r="F6" i="7"/>
  <c r="CN5" i="6" l="1"/>
  <c r="CO5" i="6"/>
  <c r="CP5" i="6"/>
  <c r="CQ5" i="6"/>
  <c r="CR5" i="6"/>
  <c r="CS5" i="6"/>
  <c r="CT5" i="6"/>
  <c r="BZ5" i="6"/>
  <c r="CA5" i="6"/>
  <c r="CB5" i="6"/>
  <c r="CC5" i="6"/>
  <c r="CD5" i="6"/>
  <c r="CE5" i="6"/>
  <c r="CG5" i="6"/>
  <c r="BL5" i="6"/>
  <c r="BM5" i="6"/>
  <c r="BN5" i="6"/>
  <c r="BO5" i="6"/>
  <c r="BP5" i="6"/>
  <c r="BQ5" i="6"/>
  <c r="BR5" i="6"/>
  <c r="AX5" i="6"/>
  <c r="AY5" i="6"/>
  <c r="AZ5" i="6"/>
  <c r="BA5" i="6"/>
  <c r="BB5" i="6"/>
  <c r="BC5" i="6"/>
  <c r="BD5" i="6"/>
  <c r="AJ5" i="6"/>
  <c r="AK5" i="6"/>
  <c r="AL5" i="6"/>
  <c r="AM5" i="6"/>
  <c r="AN5" i="6"/>
  <c r="AO5" i="6"/>
  <c r="AP5" i="6"/>
  <c r="V5" i="6"/>
  <c r="W5" i="6"/>
  <c r="X5" i="6"/>
  <c r="Y5" i="6"/>
  <c r="Z5" i="6"/>
  <c r="AA5" i="6"/>
  <c r="AB5" i="6"/>
  <c r="CM5" i="6"/>
  <c r="BY5" i="6"/>
  <c r="BK5" i="6"/>
  <c r="AW5" i="6"/>
  <c r="AI5" i="6"/>
  <c r="U5" i="6"/>
  <c r="I5" i="6"/>
  <c r="J5" i="6"/>
  <c r="K5" i="6"/>
  <c r="L5" i="6"/>
  <c r="M5" i="6"/>
  <c r="N5" i="6"/>
  <c r="H5" i="6"/>
  <c r="G5" i="6"/>
  <c r="G58" i="2" l="1"/>
  <c r="F58" i="2"/>
  <c r="D58" i="2"/>
  <c r="C58" i="2"/>
  <c r="J56" i="2"/>
  <c r="I56" i="2"/>
  <c r="H56" i="2"/>
  <c r="E56" i="2"/>
  <c r="J54" i="2"/>
  <c r="I54" i="2"/>
  <c r="K54" i="2" s="1"/>
  <c r="H54" i="2"/>
  <c r="E54" i="2"/>
  <c r="J53" i="2"/>
  <c r="I53" i="2"/>
  <c r="H53" i="2"/>
  <c r="E53" i="2"/>
  <c r="J52" i="2"/>
  <c r="I52" i="2"/>
  <c r="K52" i="2" s="1"/>
  <c r="H52" i="2"/>
  <c r="E52" i="2"/>
  <c r="J51" i="2"/>
  <c r="I51" i="2"/>
  <c r="K51" i="2" s="1"/>
  <c r="H51" i="2"/>
  <c r="E51" i="2"/>
  <c r="J50" i="2"/>
  <c r="I50" i="2"/>
  <c r="K50" i="2" s="1"/>
  <c r="H50" i="2"/>
  <c r="E50" i="2"/>
  <c r="J49" i="2"/>
  <c r="I49" i="2"/>
  <c r="H49" i="2"/>
  <c r="E49" i="2"/>
  <c r="G43" i="2"/>
  <c r="F43" i="2"/>
  <c r="D43" i="2"/>
  <c r="C43" i="2"/>
  <c r="J41" i="2"/>
  <c r="I41" i="2"/>
  <c r="H41" i="2"/>
  <c r="E41" i="2"/>
  <c r="J39" i="2"/>
  <c r="I39" i="2"/>
  <c r="H39" i="2"/>
  <c r="E39" i="2"/>
  <c r="J38" i="2"/>
  <c r="I38" i="2"/>
  <c r="H38" i="2"/>
  <c r="E38" i="2"/>
  <c r="J37" i="2"/>
  <c r="I37" i="2"/>
  <c r="H37" i="2"/>
  <c r="E37" i="2"/>
  <c r="J36" i="2"/>
  <c r="I36" i="2"/>
  <c r="K36" i="2" s="1"/>
  <c r="H36" i="2"/>
  <c r="E36" i="2"/>
  <c r="J35" i="2"/>
  <c r="I35" i="2"/>
  <c r="H35" i="2"/>
  <c r="E35" i="2"/>
  <c r="J34" i="2"/>
  <c r="I34" i="2"/>
  <c r="H34" i="2"/>
  <c r="E34" i="2"/>
  <c r="J58" i="2" l="1"/>
  <c r="I58" i="2"/>
  <c r="K38" i="2"/>
  <c r="K37" i="2"/>
  <c r="J43" i="2"/>
  <c r="K56" i="2"/>
  <c r="K49" i="2"/>
  <c r="K53" i="2"/>
  <c r="K41" i="2"/>
  <c r="K34" i="2"/>
  <c r="I43" i="2"/>
  <c r="K39" i="2"/>
  <c r="K35" i="2"/>
  <c r="E65" i="2" l="1"/>
  <c r="C89" i="2" l="1"/>
  <c r="E87" i="2" l="1"/>
  <c r="D89" i="2"/>
  <c r="J89" i="2" s="1"/>
  <c r="F74" i="2"/>
  <c r="C74" i="2"/>
  <c r="I74" i="2" l="1"/>
  <c r="G89" i="2" l="1"/>
  <c r="F89" i="2"/>
  <c r="I89" i="2"/>
  <c r="J87" i="2"/>
  <c r="I87" i="2"/>
  <c r="H87" i="2"/>
  <c r="J85" i="2"/>
  <c r="I85" i="2"/>
  <c r="H85" i="2"/>
  <c r="E85" i="2"/>
  <c r="J84" i="2"/>
  <c r="I84" i="2"/>
  <c r="H84" i="2"/>
  <c r="E84" i="2"/>
  <c r="J83" i="2"/>
  <c r="I83" i="2"/>
  <c r="H83" i="2"/>
  <c r="E83" i="2"/>
  <c r="J82" i="2"/>
  <c r="I82" i="2"/>
  <c r="H82" i="2"/>
  <c r="E82" i="2"/>
  <c r="J81" i="2"/>
  <c r="I81" i="2"/>
  <c r="H81" i="2"/>
  <c r="E81" i="2"/>
  <c r="J80" i="2"/>
  <c r="I80" i="2"/>
  <c r="H80" i="2"/>
  <c r="E80" i="2"/>
  <c r="G74" i="2"/>
  <c r="D74" i="2"/>
  <c r="J72" i="2"/>
  <c r="I72" i="2"/>
  <c r="H72" i="2"/>
  <c r="E72" i="2"/>
  <c r="J70" i="2"/>
  <c r="I70" i="2"/>
  <c r="H70" i="2"/>
  <c r="E70" i="2"/>
  <c r="J69" i="2"/>
  <c r="I69" i="2"/>
  <c r="H69" i="2"/>
  <c r="E69" i="2"/>
  <c r="J68" i="2"/>
  <c r="I68" i="2"/>
  <c r="H68" i="2"/>
  <c r="E68" i="2"/>
  <c r="J67" i="2"/>
  <c r="I67" i="2"/>
  <c r="H67" i="2"/>
  <c r="E67" i="2"/>
  <c r="J66" i="2"/>
  <c r="I66" i="2"/>
  <c r="H66" i="2"/>
  <c r="E66" i="2"/>
  <c r="J65" i="2"/>
  <c r="I65" i="2"/>
  <c r="H65" i="2"/>
  <c r="K85" i="2" l="1"/>
  <c r="K66" i="2"/>
  <c r="K87" i="2"/>
  <c r="K80" i="2"/>
  <c r="K82" i="2"/>
  <c r="K83" i="2"/>
  <c r="K84" i="2"/>
  <c r="K81" i="2"/>
  <c r="K72" i="2"/>
  <c r="K67" i="2"/>
  <c r="K70" i="2"/>
  <c r="J74" i="2"/>
  <c r="K68" i="2"/>
  <c r="K69" i="2"/>
  <c r="K65" i="2"/>
  <c r="J96" i="2"/>
  <c r="C105" i="2"/>
  <c r="C103" i="2"/>
  <c r="G120" i="2" l="1"/>
  <c r="F120" i="2"/>
  <c r="C120" i="2"/>
  <c r="J118" i="2"/>
  <c r="I118" i="2"/>
  <c r="H118" i="2"/>
  <c r="E118" i="2"/>
  <c r="I116" i="2"/>
  <c r="H116" i="2"/>
  <c r="E116" i="2"/>
  <c r="D120" i="2"/>
  <c r="J115" i="2"/>
  <c r="I115" i="2"/>
  <c r="H115" i="2"/>
  <c r="E115" i="2"/>
  <c r="J114" i="2"/>
  <c r="I114" i="2"/>
  <c r="H114" i="2"/>
  <c r="E114" i="2"/>
  <c r="J113" i="2"/>
  <c r="I113" i="2"/>
  <c r="K113" i="2" s="1"/>
  <c r="H113" i="2"/>
  <c r="E113" i="2"/>
  <c r="J112" i="2"/>
  <c r="I112" i="2"/>
  <c r="H112" i="2"/>
  <c r="E112" i="2"/>
  <c r="J111" i="2"/>
  <c r="I111" i="2"/>
  <c r="K111" i="2" s="1"/>
  <c r="H111" i="2"/>
  <c r="E111" i="2"/>
  <c r="G105" i="2"/>
  <c r="D105" i="2"/>
  <c r="I105" i="2"/>
  <c r="J103" i="2"/>
  <c r="I103" i="2"/>
  <c r="H103" i="2"/>
  <c r="E103" i="2"/>
  <c r="J101" i="2"/>
  <c r="I101" i="2"/>
  <c r="H101" i="2"/>
  <c r="E101" i="2"/>
  <c r="J100" i="2"/>
  <c r="I100" i="2"/>
  <c r="H100" i="2"/>
  <c r="E100" i="2"/>
  <c r="J99" i="2"/>
  <c r="I99" i="2"/>
  <c r="H99" i="2"/>
  <c r="E99" i="2"/>
  <c r="J98" i="2"/>
  <c r="I98" i="2"/>
  <c r="H98" i="2"/>
  <c r="E98" i="2"/>
  <c r="J97" i="2"/>
  <c r="I97" i="2"/>
  <c r="K97" i="2" s="1"/>
  <c r="H97" i="2"/>
  <c r="E97" i="2"/>
  <c r="I96" i="2"/>
  <c r="K96" i="2" s="1"/>
  <c r="H96" i="2"/>
  <c r="E96" i="2"/>
  <c r="K118" i="2" l="1"/>
  <c r="J120" i="2"/>
  <c r="K112" i="2"/>
  <c r="I120" i="2"/>
  <c r="K103" i="2"/>
  <c r="K101" i="2"/>
  <c r="K99" i="2"/>
  <c r="K98" i="2"/>
  <c r="K114" i="2"/>
  <c r="K115" i="2"/>
  <c r="J105" i="2"/>
  <c r="K100" i="2"/>
  <c r="J116" i="2"/>
  <c r="K116" i="2" s="1"/>
  <c r="J149" i="2" l="1"/>
  <c r="D147" i="2" l="1"/>
  <c r="G136" i="2" l="1"/>
  <c r="H134" i="2" l="1"/>
  <c r="G151" i="2"/>
  <c r="F151" i="2"/>
  <c r="D151" i="2"/>
  <c r="C151" i="2"/>
  <c r="I149" i="2"/>
  <c r="H149" i="2"/>
  <c r="E149" i="2"/>
  <c r="J147" i="2"/>
  <c r="I147" i="2"/>
  <c r="H147" i="2"/>
  <c r="E147" i="2"/>
  <c r="J146" i="2"/>
  <c r="I146" i="2"/>
  <c r="K146" i="2" s="1"/>
  <c r="H146" i="2"/>
  <c r="E146" i="2"/>
  <c r="J145" i="2"/>
  <c r="I145" i="2"/>
  <c r="H145" i="2"/>
  <c r="E145" i="2"/>
  <c r="J144" i="2"/>
  <c r="I144" i="2"/>
  <c r="K144" i="2" s="1"/>
  <c r="H144" i="2"/>
  <c r="E144" i="2"/>
  <c r="J143" i="2"/>
  <c r="I143" i="2"/>
  <c r="H143" i="2"/>
  <c r="E143" i="2"/>
  <c r="J142" i="2"/>
  <c r="I142" i="2"/>
  <c r="K142" i="2" s="1"/>
  <c r="H142" i="2"/>
  <c r="E142" i="2"/>
  <c r="F136" i="2"/>
  <c r="D136" i="2"/>
  <c r="C136" i="2"/>
  <c r="J134" i="2"/>
  <c r="I134" i="2"/>
  <c r="E134" i="2"/>
  <c r="J132" i="2"/>
  <c r="I132" i="2"/>
  <c r="K132" i="2" s="1"/>
  <c r="H132" i="2"/>
  <c r="E132" i="2"/>
  <c r="J131" i="2"/>
  <c r="I131" i="2"/>
  <c r="H131" i="2"/>
  <c r="E131" i="2"/>
  <c r="J130" i="2"/>
  <c r="I130" i="2"/>
  <c r="H130" i="2"/>
  <c r="E130" i="2"/>
  <c r="J129" i="2"/>
  <c r="I129" i="2"/>
  <c r="H129" i="2"/>
  <c r="E129" i="2"/>
  <c r="J128" i="2"/>
  <c r="I128" i="2"/>
  <c r="H128" i="2"/>
  <c r="E128" i="2"/>
  <c r="J127" i="2"/>
  <c r="I127" i="2"/>
  <c r="H127" i="2"/>
  <c r="E127" i="2"/>
  <c r="J151" i="2" l="1"/>
  <c r="K145" i="2"/>
  <c r="K143" i="2"/>
  <c r="K128" i="2"/>
  <c r="K149" i="2"/>
  <c r="I151" i="2"/>
  <c r="K147" i="2"/>
  <c r="K134" i="2"/>
  <c r="K127" i="2"/>
  <c r="J136" i="2"/>
  <c r="K131" i="2"/>
  <c r="I136" i="2"/>
  <c r="K130" i="2"/>
  <c r="K129" i="2"/>
  <c r="F245" i="2"/>
  <c r="D245" i="2"/>
  <c r="F213" i="2"/>
  <c r="D213" i="2"/>
  <c r="C213" i="2"/>
  <c r="I182" i="2"/>
  <c r="G182" i="2"/>
  <c r="J182" i="2" s="1"/>
  <c r="F182" i="2"/>
  <c r="D182" i="2"/>
  <c r="C182" i="2"/>
  <c r="K289" i="2" l="1"/>
  <c r="K288" i="2"/>
  <c r="H289" i="2"/>
  <c r="E289" i="2"/>
  <c r="E288" i="2"/>
  <c r="H330" i="2"/>
  <c r="E330" i="2"/>
  <c r="E329" i="2"/>
  <c r="J330" i="2"/>
  <c r="I330" i="2"/>
  <c r="K330" i="2" s="1"/>
  <c r="J329" i="2"/>
  <c r="I329" i="2"/>
  <c r="K329" i="2" s="1"/>
  <c r="J289" i="2"/>
  <c r="I289" i="2"/>
  <c r="J288" i="2"/>
  <c r="I288" i="2"/>
  <c r="J243" i="2"/>
  <c r="I243" i="2"/>
  <c r="K243" i="2" s="1"/>
  <c r="H243" i="2"/>
  <c r="E243" i="2"/>
  <c r="I211" i="2"/>
  <c r="J211" i="2"/>
  <c r="H211" i="2"/>
  <c r="E211" i="2"/>
  <c r="H180" i="2"/>
  <c r="E180" i="2"/>
  <c r="J180" i="2"/>
  <c r="I180" i="2"/>
  <c r="K180" i="2" s="1"/>
  <c r="K211" i="2" l="1"/>
  <c r="C285" i="2"/>
  <c r="C283" i="2" s="1"/>
  <c r="G167" i="2"/>
  <c r="F167" i="2"/>
  <c r="D167" i="2"/>
  <c r="C167" i="2"/>
  <c r="I167" i="2" s="1"/>
  <c r="J167" i="2" l="1"/>
  <c r="C448" i="2"/>
  <c r="G326" i="2"/>
  <c r="G324" i="2" s="1"/>
  <c r="F326" i="2"/>
  <c r="F324" i="2" s="1"/>
  <c r="H324" i="2" s="1"/>
  <c r="D326" i="2"/>
  <c r="D324" i="2" s="1"/>
  <c r="J324" i="2" s="1"/>
  <c r="C326" i="2"/>
  <c r="C324" i="2" s="1"/>
  <c r="J322" i="2"/>
  <c r="I322" i="2"/>
  <c r="H322" i="2"/>
  <c r="E322" i="2"/>
  <c r="J321" i="2"/>
  <c r="I321" i="2"/>
  <c r="H321" i="2"/>
  <c r="E321" i="2"/>
  <c r="J320" i="2"/>
  <c r="I320" i="2"/>
  <c r="H320" i="2"/>
  <c r="E320" i="2"/>
  <c r="J319" i="2"/>
  <c r="I319" i="2"/>
  <c r="H319" i="2"/>
  <c r="E319" i="2"/>
  <c r="J318" i="2"/>
  <c r="I318" i="2"/>
  <c r="H318" i="2"/>
  <c r="E318" i="2"/>
  <c r="J317" i="2"/>
  <c r="I317" i="2"/>
  <c r="H317" i="2"/>
  <c r="E317" i="2"/>
  <c r="G285" i="2"/>
  <c r="G283" i="2" s="1"/>
  <c r="F285" i="2"/>
  <c r="F283" i="2" s="1"/>
  <c r="D285" i="2"/>
  <c r="D283" i="2" s="1"/>
  <c r="J281" i="2"/>
  <c r="I281" i="2"/>
  <c r="H281" i="2"/>
  <c r="E281" i="2"/>
  <c r="J280" i="2"/>
  <c r="I280" i="2"/>
  <c r="H280" i="2"/>
  <c r="E280" i="2"/>
  <c r="J279" i="2"/>
  <c r="I279" i="2"/>
  <c r="H279" i="2"/>
  <c r="E279" i="2"/>
  <c r="J278" i="2"/>
  <c r="I278" i="2"/>
  <c r="H278" i="2"/>
  <c r="E278" i="2"/>
  <c r="J277" i="2"/>
  <c r="I277" i="2"/>
  <c r="H277" i="2"/>
  <c r="E277" i="2"/>
  <c r="J276" i="2"/>
  <c r="I276" i="2"/>
  <c r="H276" i="2"/>
  <c r="E276" i="2"/>
  <c r="J283" i="2" l="1"/>
  <c r="H283" i="2"/>
  <c r="I283" i="2"/>
  <c r="K283" i="2" s="1"/>
  <c r="E324" i="2"/>
  <c r="I324" i="2"/>
  <c r="K324" i="2" s="1"/>
  <c r="E283" i="2"/>
  <c r="K318" i="2"/>
  <c r="K320" i="2"/>
  <c r="K322" i="2"/>
  <c r="K280" i="2"/>
  <c r="K319" i="2"/>
  <c r="J326" i="2"/>
  <c r="K321" i="2"/>
  <c r="I326" i="2"/>
  <c r="K277" i="2"/>
  <c r="K281" i="2"/>
  <c r="K317" i="2"/>
  <c r="K278" i="2"/>
  <c r="I285" i="2"/>
  <c r="J285" i="2"/>
  <c r="K279" i="2"/>
  <c r="K276" i="2"/>
  <c r="C241" i="2"/>
  <c r="C245" i="2" s="1"/>
  <c r="I245" i="2" s="1"/>
  <c r="G245" i="2" l="1"/>
  <c r="J241" i="2"/>
  <c r="I241" i="2"/>
  <c r="H241" i="2"/>
  <c r="E241" i="2"/>
  <c r="J240" i="2"/>
  <c r="I240" i="2"/>
  <c r="H240" i="2"/>
  <c r="E240" i="2"/>
  <c r="J239" i="2"/>
  <c r="I239" i="2"/>
  <c r="H239" i="2"/>
  <c r="E239" i="2"/>
  <c r="J238" i="2"/>
  <c r="I238" i="2"/>
  <c r="H238" i="2"/>
  <c r="E238" i="2"/>
  <c r="J237" i="2"/>
  <c r="I237" i="2"/>
  <c r="H237" i="2"/>
  <c r="E237" i="2"/>
  <c r="J236" i="2"/>
  <c r="I236" i="2"/>
  <c r="H236" i="2"/>
  <c r="E236" i="2"/>
  <c r="G213" i="2"/>
  <c r="J209" i="2"/>
  <c r="I209" i="2"/>
  <c r="H209" i="2"/>
  <c r="E209" i="2"/>
  <c r="J208" i="2"/>
  <c r="I208" i="2"/>
  <c r="H208" i="2"/>
  <c r="E208" i="2"/>
  <c r="J207" i="2"/>
  <c r="I207" i="2"/>
  <c r="H207" i="2"/>
  <c r="E207" i="2"/>
  <c r="J206" i="2"/>
  <c r="I206" i="2"/>
  <c r="H206" i="2"/>
  <c r="E206" i="2"/>
  <c r="J205" i="2"/>
  <c r="I205" i="2"/>
  <c r="H205" i="2"/>
  <c r="E205" i="2"/>
  <c r="J204" i="2"/>
  <c r="I204" i="2"/>
  <c r="H204" i="2"/>
  <c r="E204" i="2"/>
  <c r="J178" i="2"/>
  <c r="I178" i="2"/>
  <c r="H178" i="2"/>
  <c r="E178" i="2"/>
  <c r="J177" i="2"/>
  <c r="I177" i="2"/>
  <c r="H177" i="2"/>
  <c r="E177" i="2"/>
  <c r="J176" i="2"/>
  <c r="I176" i="2"/>
  <c r="H176" i="2"/>
  <c r="E176" i="2"/>
  <c r="J175" i="2"/>
  <c r="I175" i="2"/>
  <c r="H175" i="2"/>
  <c r="E175" i="2"/>
  <c r="J174" i="2"/>
  <c r="I174" i="2"/>
  <c r="H174" i="2"/>
  <c r="E174" i="2"/>
  <c r="J173" i="2"/>
  <c r="I173" i="2"/>
  <c r="H173" i="2"/>
  <c r="E173" i="2"/>
  <c r="H165" i="2"/>
  <c r="J163" i="2"/>
  <c r="I163" i="2"/>
  <c r="H163" i="2"/>
  <c r="E163" i="2"/>
  <c r="J162" i="2"/>
  <c r="I162" i="2"/>
  <c r="H162" i="2"/>
  <c r="E162" i="2"/>
  <c r="J161" i="2"/>
  <c r="I161" i="2"/>
  <c r="H161" i="2"/>
  <c r="E161" i="2"/>
  <c r="J160" i="2"/>
  <c r="I160" i="2"/>
  <c r="H160" i="2"/>
  <c r="E160" i="2"/>
  <c r="J159" i="2"/>
  <c r="I159" i="2"/>
  <c r="H159" i="2"/>
  <c r="E159" i="2"/>
  <c r="J158" i="2"/>
  <c r="I158" i="2"/>
  <c r="H158" i="2"/>
  <c r="E158" i="2"/>
  <c r="J194" i="2"/>
  <c r="I194" i="2"/>
  <c r="H194" i="2"/>
  <c r="E194" i="2"/>
  <c r="J193" i="2"/>
  <c r="I193" i="2"/>
  <c r="H193" i="2"/>
  <c r="E193" i="2"/>
  <c r="J192" i="2"/>
  <c r="I192" i="2"/>
  <c r="H192" i="2"/>
  <c r="E192" i="2"/>
  <c r="J191" i="2"/>
  <c r="I191" i="2"/>
  <c r="H191" i="2"/>
  <c r="E191" i="2"/>
  <c r="J190" i="2"/>
  <c r="I190" i="2"/>
  <c r="H190" i="2"/>
  <c r="E190" i="2"/>
  <c r="J189" i="2"/>
  <c r="I189" i="2"/>
  <c r="H189" i="2"/>
  <c r="E189" i="2"/>
  <c r="I226" i="2"/>
  <c r="H226" i="2"/>
  <c r="J226" i="2"/>
  <c r="E226" i="2"/>
  <c r="J225" i="2"/>
  <c r="H225" i="2"/>
  <c r="E225" i="2"/>
  <c r="I225" i="2"/>
  <c r="H224" i="2"/>
  <c r="J224" i="2"/>
  <c r="I224" i="2"/>
  <c r="H223" i="2"/>
  <c r="E223" i="2"/>
  <c r="I223" i="2"/>
  <c r="H222" i="2"/>
  <c r="I222" i="2"/>
  <c r="E222" i="2"/>
  <c r="J222" i="2"/>
  <c r="I221" i="2"/>
  <c r="J221" i="2"/>
  <c r="H221" i="2"/>
  <c r="E221" i="2"/>
  <c r="G268" i="2"/>
  <c r="F268" i="2"/>
  <c r="D268" i="2"/>
  <c r="C268" i="2"/>
  <c r="G266" i="2"/>
  <c r="J266" i="2" s="1"/>
  <c r="F266" i="2"/>
  <c r="C266" i="2"/>
  <c r="G258" i="2"/>
  <c r="F258" i="2"/>
  <c r="D258" i="2"/>
  <c r="C258" i="2"/>
  <c r="G257" i="2"/>
  <c r="F257" i="2"/>
  <c r="D257" i="2"/>
  <c r="C257" i="2"/>
  <c r="G256" i="2"/>
  <c r="F256" i="2"/>
  <c r="D256" i="2"/>
  <c r="C256" i="2"/>
  <c r="G255" i="2"/>
  <c r="F255" i="2"/>
  <c r="D255" i="2"/>
  <c r="C255" i="2"/>
  <c r="G254" i="2"/>
  <c r="F254" i="2"/>
  <c r="I254" i="2" s="1"/>
  <c r="D254" i="2"/>
  <c r="C254" i="2"/>
  <c r="G253" i="2"/>
  <c r="F253" i="2"/>
  <c r="D253" i="2"/>
  <c r="C253" i="2"/>
  <c r="G271" i="2"/>
  <c r="F271" i="2"/>
  <c r="D271" i="2"/>
  <c r="C271" i="2"/>
  <c r="C260" i="2" s="1"/>
  <c r="J267" i="2"/>
  <c r="I267" i="2"/>
  <c r="E267" i="2"/>
  <c r="C312" i="2"/>
  <c r="C301" i="2" s="1"/>
  <c r="C294" i="2"/>
  <c r="D294" i="2"/>
  <c r="F294" i="2"/>
  <c r="G294" i="2"/>
  <c r="C295" i="2"/>
  <c r="D295" i="2"/>
  <c r="F295" i="2"/>
  <c r="G295" i="2"/>
  <c r="D296" i="2"/>
  <c r="F296" i="2"/>
  <c r="I296" i="2" s="1"/>
  <c r="G296" i="2"/>
  <c r="C297" i="2"/>
  <c r="D297" i="2"/>
  <c r="F297" i="2"/>
  <c r="G297" i="2"/>
  <c r="C298" i="2"/>
  <c r="D298" i="2"/>
  <c r="F298" i="2"/>
  <c r="G298" i="2"/>
  <c r="C299" i="2"/>
  <c r="D299" i="2"/>
  <c r="F299" i="2"/>
  <c r="G299" i="2"/>
  <c r="E307" i="2"/>
  <c r="F307" i="2"/>
  <c r="G307" i="2"/>
  <c r="J307" i="2" s="1"/>
  <c r="E308" i="2"/>
  <c r="I308" i="2"/>
  <c r="J308" i="2"/>
  <c r="C309" i="2"/>
  <c r="D309" i="2"/>
  <c r="F309" i="2"/>
  <c r="G309" i="2"/>
  <c r="D312" i="2"/>
  <c r="D301" i="2" s="1"/>
  <c r="F312" i="2"/>
  <c r="G312" i="2"/>
  <c r="C337" i="2"/>
  <c r="D337" i="2"/>
  <c r="F337" i="2"/>
  <c r="G337" i="2"/>
  <c r="C338" i="2"/>
  <c r="D338" i="2"/>
  <c r="F338" i="2"/>
  <c r="G338" i="2"/>
  <c r="C339" i="2"/>
  <c r="D339" i="2"/>
  <c r="F339" i="2"/>
  <c r="G339" i="2"/>
  <c r="C340" i="2"/>
  <c r="D340" i="2"/>
  <c r="F340" i="2"/>
  <c r="G340" i="2"/>
  <c r="C341" i="2"/>
  <c r="D341" i="2"/>
  <c r="F341" i="2"/>
  <c r="G341" i="2"/>
  <c r="C342" i="2"/>
  <c r="D342" i="2"/>
  <c r="F342" i="2"/>
  <c r="G342" i="2"/>
  <c r="E349" i="2"/>
  <c r="H349" i="2"/>
  <c r="I349" i="2"/>
  <c r="J349" i="2"/>
  <c r="E350" i="2"/>
  <c r="I350" i="2"/>
  <c r="J350" i="2"/>
  <c r="C351" i="2"/>
  <c r="D351" i="2"/>
  <c r="F351" i="2"/>
  <c r="G351" i="2"/>
  <c r="C354" i="2"/>
  <c r="C344" i="2" s="1"/>
  <c r="D354" i="2"/>
  <c r="D344" i="2" s="1"/>
  <c r="F354" i="2"/>
  <c r="F344" i="2" s="1"/>
  <c r="G354" i="2"/>
  <c r="G344" i="2" s="1"/>
  <c r="C364" i="2"/>
  <c r="D364" i="2"/>
  <c r="F364" i="2"/>
  <c r="G364" i="2"/>
  <c r="C365" i="2"/>
  <c r="D365" i="2"/>
  <c r="F365" i="2"/>
  <c r="G365" i="2"/>
  <c r="C366" i="2"/>
  <c r="D366" i="2"/>
  <c r="F366" i="2"/>
  <c r="G366" i="2"/>
  <c r="C367" i="2"/>
  <c r="D367" i="2"/>
  <c r="F367" i="2"/>
  <c r="G367" i="2"/>
  <c r="C368" i="2"/>
  <c r="D368" i="2"/>
  <c r="F368" i="2"/>
  <c r="G368" i="2"/>
  <c r="C369" i="2"/>
  <c r="D369" i="2"/>
  <c r="F369" i="2"/>
  <c r="G369" i="2"/>
  <c r="E376" i="2"/>
  <c r="F376" i="2"/>
  <c r="G376" i="2"/>
  <c r="J376" i="2" s="1"/>
  <c r="E377" i="2"/>
  <c r="I377" i="2"/>
  <c r="J377" i="2"/>
  <c r="C378" i="2"/>
  <c r="D378" i="2"/>
  <c r="F378" i="2"/>
  <c r="G378" i="2"/>
  <c r="C381" i="2"/>
  <c r="D381" i="2"/>
  <c r="D371" i="2" s="1"/>
  <c r="F381" i="2"/>
  <c r="G381" i="2"/>
  <c r="C392" i="2"/>
  <c r="D392" i="2"/>
  <c r="F392" i="2"/>
  <c r="G392" i="2"/>
  <c r="C393" i="2"/>
  <c r="D393" i="2"/>
  <c r="F393" i="2"/>
  <c r="G393" i="2"/>
  <c r="C394" i="2"/>
  <c r="D394" i="2"/>
  <c r="F394" i="2"/>
  <c r="G394" i="2"/>
  <c r="C395" i="2"/>
  <c r="D395" i="2"/>
  <c r="F395" i="2"/>
  <c r="G395" i="2"/>
  <c r="C396" i="2"/>
  <c r="D396" i="2"/>
  <c r="F396" i="2"/>
  <c r="G396" i="2"/>
  <c r="C397" i="2"/>
  <c r="D397" i="2"/>
  <c r="F397" i="2"/>
  <c r="G397" i="2"/>
  <c r="C399" i="2"/>
  <c r="D399" i="2"/>
  <c r="F399" i="2"/>
  <c r="G399" i="2"/>
  <c r="E404" i="2"/>
  <c r="H404" i="2"/>
  <c r="I404" i="2"/>
  <c r="J404" i="2"/>
  <c r="E405" i="2"/>
  <c r="I405" i="2"/>
  <c r="J405" i="2"/>
  <c r="C406" i="2"/>
  <c r="D406" i="2"/>
  <c r="F406" i="2"/>
  <c r="G406" i="2"/>
  <c r="C417" i="2"/>
  <c r="D417" i="2"/>
  <c r="F417" i="2"/>
  <c r="G417" i="2"/>
  <c r="C418" i="2"/>
  <c r="D418" i="2"/>
  <c r="F418" i="2"/>
  <c r="G418" i="2"/>
  <c r="C419" i="2"/>
  <c r="D419" i="2"/>
  <c r="F419" i="2"/>
  <c r="G419" i="2"/>
  <c r="C420" i="2"/>
  <c r="D420" i="2"/>
  <c r="F420" i="2"/>
  <c r="G420" i="2"/>
  <c r="C421" i="2"/>
  <c r="D421" i="2"/>
  <c r="F421" i="2"/>
  <c r="G421" i="2"/>
  <c r="C422" i="2"/>
  <c r="D422" i="2"/>
  <c r="F422" i="2"/>
  <c r="G422" i="2"/>
  <c r="D424" i="2"/>
  <c r="C429" i="2"/>
  <c r="E429" i="2" s="1"/>
  <c r="F429" i="2"/>
  <c r="F424" i="2" s="1"/>
  <c r="G429" i="2"/>
  <c r="G424" i="2" s="1"/>
  <c r="E430" i="2"/>
  <c r="I430" i="2"/>
  <c r="J430" i="2"/>
  <c r="C431" i="2"/>
  <c r="D431" i="2"/>
  <c r="F431" i="2"/>
  <c r="G431" i="2"/>
  <c r="C441" i="2"/>
  <c r="D441" i="2"/>
  <c r="F441" i="2"/>
  <c r="G441" i="2"/>
  <c r="C442" i="2"/>
  <c r="D442" i="2"/>
  <c r="F442" i="2"/>
  <c r="G442" i="2"/>
  <c r="C443" i="2"/>
  <c r="D443" i="2"/>
  <c r="F443" i="2"/>
  <c r="G443" i="2"/>
  <c r="C444" i="2"/>
  <c r="D444" i="2"/>
  <c r="F444" i="2"/>
  <c r="G444" i="2"/>
  <c r="C445" i="2"/>
  <c r="D445" i="2"/>
  <c r="F445" i="2"/>
  <c r="G445" i="2"/>
  <c r="C446" i="2"/>
  <c r="D446" i="2"/>
  <c r="F446" i="2"/>
  <c r="G446" i="2"/>
  <c r="D448" i="2"/>
  <c r="E453" i="2"/>
  <c r="F453" i="2"/>
  <c r="I453" i="2" s="1"/>
  <c r="G453" i="2"/>
  <c r="J453" i="2" s="1"/>
  <c r="E454" i="2"/>
  <c r="I454" i="2"/>
  <c r="J454" i="2"/>
  <c r="C455" i="2"/>
  <c r="D455" i="2"/>
  <c r="F455" i="2"/>
  <c r="G455" i="2"/>
  <c r="E224" i="2"/>
  <c r="J223" i="2"/>
  <c r="E337" i="2" l="1"/>
  <c r="J397" i="2"/>
  <c r="K189" i="2"/>
  <c r="H443" i="2"/>
  <c r="J395" i="2"/>
  <c r="I338" i="2"/>
  <c r="D262" i="2"/>
  <c r="H369" i="2"/>
  <c r="H312" i="2"/>
  <c r="H298" i="2"/>
  <c r="H258" i="2"/>
  <c r="J378" i="2"/>
  <c r="H228" i="2"/>
  <c r="F260" i="2"/>
  <c r="J368" i="2"/>
  <c r="H364" i="2"/>
  <c r="H339" i="2"/>
  <c r="H337" i="2"/>
  <c r="H255" i="2"/>
  <c r="H406" i="2"/>
  <c r="C303" i="2"/>
  <c r="K191" i="2"/>
  <c r="K193" i="2"/>
  <c r="K160" i="2"/>
  <c r="K162" i="2"/>
  <c r="E441" i="2"/>
  <c r="I297" i="2"/>
  <c r="E392" i="2"/>
  <c r="H399" i="2"/>
  <c r="H396" i="2"/>
  <c r="J392" i="2"/>
  <c r="I271" i="2"/>
  <c r="H421" i="2"/>
  <c r="H419" i="2"/>
  <c r="K405" i="2"/>
  <c r="E339" i="2"/>
  <c r="C262" i="2"/>
  <c r="I257" i="2"/>
  <c r="I266" i="2"/>
  <c r="K454" i="2"/>
  <c r="E396" i="2"/>
  <c r="E297" i="2"/>
  <c r="K267" i="2"/>
  <c r="H344" i="2"/>
  <c r="H253" i="2"/>
  <c r="F262" i="2"/>
  <c r="I446" i="2"/>
  <c r="K404" i="2"/>
  <c r="H395" i="2"/>
  <c r="H393" i="2"/>
  <c r="H354" i="2"/>
  <c r="G303" i="2"/>
  <c r="G262" i="2"/>
  <c r="F303" i="2"/>
  <c r="E369" i="2"/>
  <c r="D303" i="2"/>
  <c r="H271" i="2"/>
  <c r="E445" i="2"/>
  <c r="E418" i="2"/>
  <c r="E446" i="2"/>
  <c r="H444" i="2"/>
  <c r="H442" i="2"/>
  <c r="I431" i="2"/>
  <c r="J228" i="2"/>
  <c r="J446" i="2"/>
  <c r="J444" i="2"/>
  <c r="J431" i="2"/>
  <c r="J417" i="2"/>
  <c r="I399" i="2"/>
  <c r="E394" i="2"/>
  <c r="E351" i="2"/>
  <c r="I341" i="2"/>
  <c r="K308" i="2"/>
  <c r="H297" i="2"/>
  <c r="H295" i="2"/>
  <c r="K194" i="2"/>
  <c r="K163" i="2"/>
  <c r="K158" i="2"/>
  <c r="E266" i="2"/>
  <c r="E406" i="2"/>
  <c r="J441" i="2"/>
  <c r="H397" i="2"/>
  <c r="I369" i="2"/>
  <c r="I342" i="2"/>
  <c r="K430" i="2"/>
  <c r="I395" i="2"/>
  <c r="I393" i="2"/>
  <c r="F371" i="2"/>
  <c r="K377" i="2"/>
  <c r="E342" i="2"/>
  <c r="I295" i="2"/>
  <c r="J271" i="2"/>
  <c r="J245" i="2"/>
  <c r="H417" i="2"/>
  <c r="H367" i="2"/>
  <c r="E431" i="2"/>
  <c r="J421" i="2"/>
  <c r="J399" i="2"/>
  <c r="J367" i="2"/>
  <c r="J337" i="2"/>
  <c r="I298" i="2"/>
  <c r="I255" i="2"/>
  <c r="I165" i="2"/>
  <c r="K239" i="2"/>
  <c r="E417" i="2"/>
  <c r="E367" i="2"/>
  <c r="E448" i="2"/>
  <c r="I419" i="2"/>
  <c r="I396" i="2"/>
  <c r="E354" i="2"/>
  <c r="K350" i="2"/>
  <c r="H342" i="2"/>
  <c r="J340" i="2"/>
  <c r="I339" i="2"/>
  <c r="I299" i="2"/>
  <c r="H296" i="2"/>
  <c r="E294" i="2"/>
  <c r="J253" i="2"/>
  <c r="J255" i="2"/>
  <c r="H266" i="2"/>
  <c r="J393" i="2"/>
  <c r="J369" i="2"/>
  <c r="H309" i="2"/>
  <c r="J256" i="2"/>
  <c r="J344" i="2"/>
  <c r="E338" i="2"/>
  <c r="I309" i="2"/>
  <c r="I445" i="2"/>
  <c r="H420" i="2"/>
  <c r="J406" i="2"/>
  <c r="I364" i="2"/>
  <c r="H338" i="2"/>
  <c r="H257" i="2"/>
  <c r="I268" i="2"/>
  <c r="E165" i="2"/>
  <c r="K173" i="2"/>
  <c r="K175" i="2"/>
  <c r="K205" i="2"/>
  <c r="K207" i="2"/>
  <c r="K209" i="2"/>
  <c r="H351" i="2"/>
  <c r="K159" i="2"/>
  <c r="G448" i="2"/>
  <c r="J448" i="2" s="1"/>
  <c r="G409" i="2"/>
  <c r="I381" i="2"/>
  <c r="J442" i="2"/>
  <c r="H431" i="2"/>
  <c r="J429" i="2"/>
  <c r="J422" i="2"/>
  <c r="J420" i="2"/>
  <c r="D434" i="2"/>
  <c r="I406" i="2"/>
  <c r="I354" i="2"/>
  <c r="K349" i="2"/>
  <c r="J338" i="2"/>
  <c r="K338" i="2" s="1"/>
  <c r="J268" i="2"/>
  <c r="K192" i="2"/>
  <c r="F434" i="2"/>
  <c r="G458" i="2"/>
  <c r="E422" i="2"/>
  <c r="H366" i="2"/>
  <c r="E298" i="2"/>
  <c r="E399" i="2"/>
  <c r="J424" i="2"/>
  <c r="F301" i="2"/>
  <c r="I301" i="2" s="1"/>
  <c r="C371" i="2"/>
  <c r="K453" i="2"/>
  <c r="H394" i="2"/>
  <c r="I258" i="2"/>
  <c r="I417" i="2"/>
  <c r="H445" i="2"/>
  <c r="E444" i="2"/>
  <c r="H422" i="2"/>
  <c r="J418" i="2"/>
  <c r="J394" i="2"/>
  <c r="E381" i="2"/>
  <c r="E365" i="2"/>
  <c r="E341" i="2"/>
  <c r="G301" i="2"/>
  <c r="J301" i="2" s="1"/>
  <c r="H299" i="2"/>
  <c r="J298" i="2"/>
  <c r="K298" i="2" s="1"/>
  <c r="J294" i="2"/>
  <c r="G260" i="2"/>
  <c r="H260" i="2" s="1"/>
  <c r="J254" i="2"/>
  <c r="K254" i="2" s="1"/>
  <c r="H256" i="2"/>
  <c r="E268" i="2"/>
  <c r="K224" i="2"/>
  <c r="I196" i="2"/>
  <c r="K174" i="2"/>
  <c r="K178" i="2"/>
  <c r="K204" i="2"/>
  <c r="K206" i="2"/>
  <c r="H340" i="2"/>
  <c r="F458" i="2"/>
  <c r="H424" i="2"/>
  <c r="H378" i="2"/>
  <c r="J366" i="2"/>
  <c r="J364" i="2"/>
  <c r="E344" i="2"/>
  <c r="K190" i="2"/>
  <c r="H196" i="2"/>
  <c r="H307" i="2"/>
  <c r="E255" i="2"/>
  <c r="H429" i="2"/>
  <c r="J396" i="2"/>
  <c r="E366" i="2"/>
  <c r="I337" i="2"/>
  <c r="E299" i="2"/>
  <c r="H268" i="2"/>
  <c r="E295" i="2"/>
  <c r="J339" i="2"/>
  <c r="H446" i="2"/>
  <c r="E378" i="2"/>
  <c r="H341" i="2"/>
  <c r="E340" i="2"/>
  <c r="I307" i="2"/>
  <c r="K307" i="2" s="1"/>
  <c r="J297" i="2"/>
  <c r="I312" i="2"/>
  <c r="E254" i="2"/>
  <c r="J165" i="2"/>
  <c r="K238" i="2"/>
  <c r="K240" i="2"/>
  <c r="I368" i="2"/>
  <c r="K368" i="2" s="1"/>
  <c r="E368" i="2"/>
  <c r="J365" i="2"/>
  <c r="H365" i="2"/>
  <c r="I260" i="2"/>
  <c r="J312" i="2"/>
  <c r="E312" i="2"/>
  <c r="I340" i="2"/>
  <c r="E258" i="2"/>
  <c r="J258" i="2"/>
  <c r="I442" i="2"/>
  <c r="K442" i="2" s="1"/>
  <c r="E442" i="2"/>
  <c r="C458" i="2"/>
  <c r="E395" i="2"/>
  <c r="I378" i="2"/>
  <c r="K378" i="2" s="1"/>
  <c r="E301" i="2"/>
  <c r="H254" i="2"/>
  <c r="I351" i="2"/>
  <c r="J443" i="2"/>
  <c r="E421" i="2"/>
  <c r="I421" i="2"/>
  <c r="J419" i="2"/>
  <c r="H376" i="2"/>
  <c r="I376" i="2"/>
  <c r="K376" i="2" s="1"/>
  <c r="H368" i="2"/>
  <c r="J309" i="2"/>
  <c r="E309" i="2"/>
  <c r="E271" i="2"/>
  <c r="D260" i="2"/>
  <c r="E260" i="2" s="1"/>
  <c r="J257" i="2"/>
  <c r="K257" i="2" s="1"/>
  <c r="E257" i="2"/>
  <c r="K225" i="2"/>
  <c r="I418" i="2"/>
  <c r="H418" i="2"/>
  <c r="E455" i="2"/>
  <c r="I455" i="2"/>
  <c r="E397" i="2"/>
  <c r="I397" i="2"/>
  <c r="K397" i="2" s="1"/>
  <c r="I253" i="2"/>
  <c r="E253" i="2"/>
  <c r="I429" i="2"/>
  <c r="C424" i="2"/>
  <c r="K221" i="2"/>
  <c r="G434" i="2"/>
  <c r="H392" i="2"/>
  <c r="I392" i="2"/>
  <c r="K392" i="2" s="1"/>
  <c r="J381" i="2"/>
  <c r="E364" i="2"/>
  <c r="I444" i="2"/>
  <c r="J445" i="2"/>
  <c r="J341" i="2"/>
  <c r="J455" i="2"/>
  <c r="H455" i="2"/>
  <c r="I441" i="2"/>
  <c r="H441" i="2"/>
  <c r="G371" i="2"/>
  <c r="H381" i="2"/>
  <c r="J295" i="2"/>
  <c r="I228" i="2"/>
  <c r="E228" i="2"/>
  <c r="H294" i="2"/>
  <c r="I294" i="2"/>
  <c r="H453" i="2"/>
  <c r="I420" i="2"/>
  <c r="E420" i="2"/>
  <c r="J296" i="2"/>
  <c r="K296" i="2" s="1"/>
  <c r="E296" i="2"/>
  <c r="C409" i="2"/>
  <c r="I394" i="2"/>
  <c r="F409" i="2"/>
  <c r="I365" i="2"/>
  <c r="I344" i="2"/>
  <c r="I366" i="2"/>
  <c r="I367" i="2"/>
  <c r="F448" i="2"/>
  <c r="E443" i="2"/>
  <c r="I443" i="2"/>
  <c r="D458" i="2"/>
  <c r="I422" i="2"/>
  <c r="C434" i="2"/>
  <c r="E393" i="2"/>
  <c r="D409" i="2"/>
  <c r="J354" i="2"/>
  <c r="J299" i="2"/>
  <c r="E256" i="2"/>
  <c r="I256" i="2"/>
  <c r="K266" i="2"/>
  <c r="J342" i="2"/>
  <c r="K342" i="2" s="1"/>
  <c r="K223" i="2"/>
  <c r="K176" i="2"/>
  <c r="J213" i="2"/>
  <c r="J351" i="2"/>
  <c r="K208" i="2"/>
  <c r="I213" i="2"/>
  <c r="K237" i="2"/>
  <c r="K241" i="2"/>
  <c r="K161" i="2"/>
  <c r="K236" i="2"/>
  <c r="K177" i="2"/>
  <c r="E419" i="2"/>
  <c r="K222" i="2"/>
  <c r="K226" i="2"/>
  <c r="J196" i="2"/>
  <c r="E196" i="2"/>
  <c r="K271" i="2" l="1"/>
  <c r="K431" i="2"/>
  <c r="K228" i="2"/>
  <c r="K341" i="2"/>
  <c r="K395" i="2"/>
  <c r="K295" i="2"/>
  <c r="K369" i="2"/>
  <c r="K297" i="2"/>
  <c r="K418" i="2"/>
  <c r="K294" i="2"/>
  <c r="I303" i="2"/>
  <c r="J303" i="2"/>
  <c r="K446" i="2"/>
  <c r="K268" i="2"/>
  <c r="K354" i="2"/>
  <c r="J262" i="2"/>
  <c r="K444" i="2"/>
  <c r="K417" i="2"/>
  <c r="K381" i="2"/>
  <c r="I262" i="2"/>
  <c r="K337" i="2"/>
  <c r="K406" i="2"/>
  <c r="K309" i="2"/>
  <c r="K429" i="2"/>
  <c r="K255" i="2"/>
  <c r="K344" i="2"/>
  <c r="K422" i="2"/>
  <c r="K365" i="2"/>
  <c r="K253" i="2"/>
  <c r="H371" i="2"/>
  <c r="K364" i="2"/>
  <c r="K393" i="2"/>
  <c r="K351" i="2"/>
  <c r="K420" i="2"/>
  <c r="K340" i="2"/>
  <c r="K256" i="2"/>
  <c r="K441" i="2"/>
  <c r="K394" i="2"/>
  <c r="K421" i="2"/>
  <c r="K165" i="2"/>
  <c r="K396" i="2"/>
  <c r="K399" i="2"/>
  <c r="H409" i="2"/>
  <c r="K301" i="2"/>
  <c r="K196" i="2"/>
  <c r="H458" i="2"/>
  <c r="K299" i="2"/>
  <c r="J434" i="2"/>
  <c r="K419" i="2"/>
  <c r="K312" i="2"/>
  <c r="J458" i="2"/>
  <c r="J409" i="2"/>
  <c r="K367" i="2"/>
  <c r="K445" i="2"/>
  <c r="J371" i="2"/>
  <c r="H301" i="2"/>
  <c r="K339" i="2"/>
  <c r="K366" i="2"/>
  <c r="K455" i="2"/>
  <c r="I371" i="2"/>
  <c r="E371" i="2"/>
  <c r="K443" i="2"/>
  <c r="K258" i="2"/>
  <c r="I448" i="2"/>
  <c r="K448" i="2" s="1"/>
  <c r="H448" i="2"/>
  <c r="J260" i="2"/>
  <c r="K260" i="2" s="1"/>
  <c r="E424" i="2"/>
  <c r="I424" i="2"/>
  <c r="K424" i="2" s="1"/>
  <c r="I434" i="2"/>
  <c r="E434" i="2"/>
  <c r="H434" i="2"/>
  <c r="I409" i="2"/>
  <c r="E409" i="2"/>
  <c r="E458" i="2"/>
  <c r="I458" i="2"/>
  <c r="K458" i="2" s="1"/>
  <c r="K371" i="2" l="1"/>
  <c r="K434" i="2"/>
  <c r="K409" i="2"/>
</calcChain>
</file>

<file path=xl/sharedStrings.xml><?xml version="1.0" encoding="utf-8"?>
<sst xmlns="http://schemas.openxmlformats.org/spreadsheetml/2006/main" count="963" uniqueCount="124">
  <si>
    <t xml:space="preserve"> </t>
  </si>
  <si>
    <t>COLLEGE</t>
  </si>
  <si>
    <t>Undergraduate</t>
  </si>
  <si>
    <t>Graduate</t>
  </si>
  <si>
    <t>Total</t>
  </si>
  <si>
    <t>Enrollment</t>
  </si>
  <si>
    <t>Sections</t>
  </si>
  <si>
    <t>Avg Sect</t>
  </si>
  <si>
    <t>Ave Sect</t>
  </si>
  <si>
    <t>AG</t>
  </si>
  <si>
    <t>BUS</t>
  </si>
  <si>
    <t>DSN</t>
  </si>
  <si>
    <t>ENGR</t>
  </si>
  <si>
    <t>LAS</t>
  </si>
  <si>
    <t>Univ. Total    (excl. VetMed)</t>
  </si>
  <si>
    <t>Business</t>
  </si>
  <si>
    <t>Design</t>
  </si>
  <si>
    <t>Family and Consumer Sciences</t>
  </si>
  <si>
    <t>Education</t>
  </si>
  <si>
    <t>Fall Semester</t>
  </si>
  <si>
    <r>
      <t>Average Section</t>
    </r>
    <r>
      <rPr>
        <vertAlign val="superscript"/>
        <sz val="12"/>
        <rFont val="Univers 55"/>
        <family val="2"/>
      </rPr>
      <t>1</t>
    </r>
    <r>
      <rPr>
        <b/>
        <sz val="14"/>
        <rFont val="Univers 55"/>
        <family val="2"/>
      </rPr>
      <t xml:space="preserve"> Size by College and Course Level</t>
    </r>
  </si>
  <si>
    <t>HS</t>
  </si>
  <si>
    <t>Vet Med</t>
  </si>
  <si>
    <t>Lib</t>
  </si>
  <si>
    <t>Interdept</t>
  </si>
  <si>
    <t>GT</t>
  </si>
  <si>
    <t>Fall 2007</t>
  </si>
  <si>
    <t>Fall 2008</t>
  </si>
  <si>
    <t>Fall 2009</t>
  </si>
  <si>
    <t>Fall 2010</t>
  </si>
  <si>
    <t>Fall 2011</t>
  </si>
  <si>
    <t>Fall 2012</t>
  </si>
  <si>
    <t>CALS Total</t>
  </si>
  <si>
    <t>CALS Ugrad</t>
  </si>
  <si>
    <t>CALS Grad</t>
  </si>
  <si>
    <t>BUS Total</t>
  </si>
  <si>
    <t>BUS Ugrad</t>
  </si>
  <si>
    <t>Bus Grad</t>
  </si>
  <si>
    <t>DSN Total</t>
  </si>
  <si>
    <t>DSN Ugrad</t>
  </si>
  <si>
    <t>DSN Grad</t>
  </si>
  <si>
    <t>ENGR Total</t>
  </si>
  <si>
    <t>ENGR Ugrad</t>
  </si>
  <si>
    <t>Engr Grad</t>
  </si>
  <si>
    <t>HS Total</t>
  </si>
  <si>
    <t>HS Ugrad</t>
  </si>
  <si>
    <t>HS Grad</t>
  </si>
  <si>
    <t>LAS Total</t>
  </si>
  <si>
    <t>LAS Ugrad</t>
  </si>
  <si>
    <t>LAS Grad</t>
  </si>
  <si>
    <t>ISU Total</t>
  </si>
  <si>
    <t>ISU Ugrad</t>
  </si>
  <si>
    <t>ISU Grad</t>
  </si>
  <si>
    <t>2009 Ugrad</t>
  </si>
  <si>
    <t>2009 Grad</t>
  </si>
  <si>
    <t>2010 Ugrad</t>
  </si>
  <si>
    <t>2010 Grad</t>
  </si>
  <si>
    <t>2011 Ugrad</t>
  </si>
  <si>
    <t>2011 Grad</t>
  </si>
  <si>
    <t>2012 Ugrad</t>
  </si>
  <si>
    <t>2012 Grad</t>
  </si>
  <si>
    <t>CALS</t>
  </si>
  <si>
    <t>ISU</t>
  </si>
  <si>
    <t>Ugrad</t>
  </si>
  <si>
    <t>Grad</t>
  </si>
  <si>
    <t>ISU TOTAL</t>
  </si>
  <si>
    <t>Undergraduate Average Section Size</t>
  </si>
  <si>
    <t>Fall 2013</t>
  </si>
  <si>
    <t>2013</t>
  </si>
  <si>
    <t>Fall 2014</t>
  </si>
  <si>
    <t>Fall 2015</t>
  </si>
  <si>
    <t>2014</t>
  </si>
  <si>
    <t>2015</t>
  </si>
  <si>
    <t>Fall 2016</t>
  </si>
  <si>
    <t>2016</t>
  </si>
  <si>
    <t>Lower Undergraduate</t>
  </si>
  <si>
    <t>Upper Undergraduate</t>
  </si>
  <si>
    <t>Undergraduate Total</t>
  </si>
  <si>
    <t>(VM  excluded)</t>
  </si>
  <si>
    <t>Colleges Total</t>
  </si>
  <si>
    <t>(VM, Libr, Indpt. excluded)</t>
  </si>
  <si>
    <t xml:space="preserve">Univ. Total </t>
  </si>
  <si>
    <t xml:space="preserve">Univ. Total  </t>
  </si>
  <si>
    <t xml:space="preserve">Colleges Total </t>
  </si>
  <si>
    <t>Univ. Total</t>
  </si>
  <si>
    <t>Fall 2017</t>
  </si>
  <si>
    <t>2017</t>
  </si>
  <si>
    <t>2009</t>
  </si>
  <si>
    <r>
      <rPr>
        <b/>
        <sz val="10"/>
        <rFont val="Univers 55"/>
      </rPr>
      <t xml:space="preserve">Notes for updating:  </t>
    </r>
    <r>
      <rPr>
        <sz val="10"/>
        <rFont val="Univers 55"/>
      </rPr>
      <t>Earlier years are hidden columns, so "unhide" all columns before you begin.  Insert new columns for new year and enter data.  Move College Name to be directly above the earliest year to be included in this year's graph.</t>
    </r>
  </si>
  <si>
    <t>Be sure to use the "insert/copy" method for adding the new year to the ISU Total, as that will allow it to be automatically included in the graph.  Hide columns for unused years.  Ready to go.</t>
  </si>
  <si>
    <r>
      <t>2014</t>
    </r>
    <r>
      <rPr>
        <b/>
        <vertAlign val="superscript"/>
        <sz val="10"/>
        <rFont val="Univers 55"/>
      </rPr>
      <t xml:space="preserve"> 2</t>
    </r>
  </si>
  <si>
    <t xml:space="preserve"> Fall Semester</t>
  </si>
  <si>
    <t xml:space="preserve"> Agriculture and Life Sciences</t>
  </si>
  <si>
    <t xml:space="preserve"> Business</t>
  </si>
  <si>
    <t xml:space="preserve"> Design</t>
  </si>
  <si>
    <t xml:space="preserve"> Engineering</t>
  </si>
  <si>
    <t xml:space="preserve"> Human Sciences</t>
  </si>
  <si>
    <t xml:space="preserve"> Liberal Arts and Sciences</t>
  </si>
  <si>
    <t>Fall 2018</t>
  </si>
  <si>
    <t>2018</t>
  </si>
  <si>
    <t>Engineering</t>
  </si>
  <si>
    <t>Human Sci</t>
  </si>
  <si>
    <t xml:space="preserve">  College of Veterinary Medicine courses were excluded from all calculations.</t>
  </si>
  <si>
    <r>
      <t>Average Section</t>
    </r>
    <r>
      <rPr>
        <vertAlign val="superscript"/>
        <sz val="12"/>
        <rFont val="Univers 55"/>
      </rPr>
      <t>1</t>
    </r>
    <r>
      <rPr>
        <b/>
        <sz val="14"/>
        <rFont val="Univers 55"/>
        <family val="2"/>
      </rPr>
      <t xml:space="preserve"> Size by College and Course Level</t>
    </r>
  </si>
  <si>
    <t>Fall 2019</t>
  </si>
  <si>
    <t>2019</t>
  </si>
  <si>
    <t>Office of Institutional Research (Source: e-Data Warehouse)</t>
  </si>
  <si>
    <r>
      <t xml:space="preserve"> Total</t>
    </r>
    <r>
      <rPr>
        <b/>
        <sz val="1"/>
        <rFont val="Univers 45 Light"/>
      </rPr>
      <t xml:space="preserve"> </t>
    </r>
    <r>
      <rPr>
        <vertAlign val="superscript"/>
        <sz val="10"/>
        <rFont val="Univers 45 Light"/>
      </rPr>
      <t>2</t>
    </r>
  </si>
  <si>
    <r>
      <t>1</t>
    </r>
    <r>
      <rPr>
        <sz val="10"/>
        <rFont val="ITC Berkeley Oldstyle Std"/>
        <family val="1"/>
      </rPr>
      <t xml:space="preserve"> Section size is based on sections taught as lecture, recitation, discussion, laboratory, combination, and studio.</t>
    </r>
  </si>
  <si>
    <r>
      <t>2</t>
    </r>
    <r>
      <rPr>
        <sz val="10"/>
        <rFont val="ITC Berkeley Oldstyle Std"/>
        <family val="1"/>
      </rPr>
      <t xml:space="preserve"> Beginning Fall 2014, all data are sourced from the e-Data warehouse.</t>
    </r>
  </si>
  <si>
    <r>
      <t>2</t>
    </r>
    <r>
      <rPr>
        <sz val="10"/>
        <rFont val="ITC Berkeley Oldstyle Std"/>
        <family val="1"/>
      </rPr>
      <t xml:space="preserve"> Total calculations include Library and Interdisciplinary; the College of Veterinary Medicine is excluded.</t>
    </r>
  </si>
  <si>
    <r>
      <rPr>
        <vertAlign val="superscript"/>
        <sz val="10"/>
        <rFont val="ITC Berkeley Oldstyle Std"/>
        <family val="1"/>
      </rPr>
      <t>1</t>
    </r>
    <r>
      <rPr>
        <sz val="7"/>
        <rFont val="ITC Berkeley Oldstyle Std"/>
        <family val="1"/>
      </rPr>
      <t xml:space="preserve"> </t>
    </r>
    <r>
      <rPr>
        <sz val="10"/>
        <rFont val="ITC Berkeley Oldstyle Std"/>
        <family val="1"/>
      </rPr>
      <t>Section size is based on sections taught as lecture, recitation, discussion, laboratory, combination, and studio.</t>
    </r>
  </si>
  <si>
    <r>
      <rPr>
        <sz val="8"/>
        <rFont val="ITC Berkeley Oldstyle Std"/>
        <family val="1"/>
      </rPr>
      <t xml:space="preserve">  </t>
    </r>
    <r>
      <rPr>
        <sz val="10"/>
        <rFont val="ITC Berkeley Oldstyle Std"/>
        <family val="1"/>
      </rPr>
      <t>College of Veterinary Medicine courses were excluded from all calculations.</t>
    </r>
  </si>
  <si>
    <t>Fall 2020</t>
  </si>
  <si>
    <t>2020</t>
  </si>
  <si>
    <t>Five year Ave</t>
  </si>
  <si>
    <t xml:space="preserve"> Human Sci</t>
  </si>
  <si>
    <t>Graduate Average Section Size</t>
  </si>
  <si>
    <t>Five-year Rolling Average</t>
  </si>
  <si>
    <t xml:space="preserve"> continued</t>
  </si>
  <si>
    <t>2021</t>
  </si>
  <si>
    <t>Ag &amp; Life Sci</t>
  </si>
  <si>
    <t>Fall 2021</t>
  </si>
  <si>
    <t>Last Updated: 4/8/2022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</si>
</sst>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
    <numFmt numFmtId="166" formatCode="??0.0%"/>
  </numFmts>
  <fonts count="56">
    <font>
      <sz val="10"/>
      <name val="Univers 55"/>
    </font>
    <font>
      <sz val="14"/>
      <name val="Univers 75 Black"/>
    </font>
    <font>
      <sz val="7"/>
      <name val="Univers 55"/>
      <family val="2"/>
    </font>
    <font>
      <sz val="10"/>
      <name val="Berkeley Italic"/>
    </font>
    <font>
      <sz val="10"/>
      <name val="Univers 55"/>
      <family val="2"/>
    </font>
    <font>
      <vertAlign val="superscript"/>
      <sz val="9"/>
      <name val="Univers 55"/>
      <family val="2"/>
    </font>
    <font>
      <b/>
      <sz val="14"/>
      <name val="Univers 55"/>
      <family val="2"/>
    </font>
    <font>
      <i/>
      <sz val="10"/>
      <name val="Berkeley"/>
      <family val="1"/>
    </font>
    <font>
      <b/>
      <sz val="10"/>
      <name val="Univers 55"/>
      <family val="2"/>
    </font>
    <font>
      <vertAlign val="superscript"/>
      <sz val="12"/>
      <name val="Univers 55"/>
      <family val="2"/>
    </font>
    <font>
      <sz val="7"/>
      <name val="Univers 55"/>
      <family val="2"/>
    </font>
    <font>
      <i/>
      <sz val="7"/>
      <name val="Univers 45 Light"/>
      <family val="2"/>
    </font>
    <font>
      <sz val="10"/>
      <name val="Univers 55"/>
      <family val="2"/>
    </font>
    <font>
      <sz val="10"/>
      <color indexed="10"/>
      <name val="Univers 55"/>
      <family val="2"/>
    </font>
    <font>
      <sz val="10"/>
      <color indexed="12"/>
      <name val="Univers 55"/>
      <family val="2"/>
    </font>
    <font>
      <b/>
      <i/>
      <sz val="9"/>
      <name val="Univers 55"/>
      <family val="2"/>
    </font>
    <font>
      <sz val="11"/>
      <color indexed="10"/>
      <name val="Calibri"/>
      <family val="2"/>
    </font>
    <font>
      <sz val="10"/>
      <color indexed="10"/>
      <name val="Univers 55"/>
      <family val="2"/>
    </font>
    <font>
      <b/>
      <sz val="9"/>
      <name val="Univers 55"/>
      <family val="2"/>
    </font>
    <font>
      <sz val="9"/>
      <name val="Univers 55"/>
      <family val="2"/>
    </font>
    <font>
      <b/>
      <sz val="9"/>
      <name val="Univers 45 Light"/>
      <family val="2"/>
    </font>
    <font>
      <sz val="10"/>
      <color indexed="0"/>
      <name val="Univers 55"/>
      <family val="2"/>
    </font>
    <font>
      <sz val="10"/>
      <color indexed="0"/>
      <name val="Univers 55"/>
    </font>
    <font>
      <sz val="10"/>
      <color indexed="0"/>
      <name val="Univers 55"/>
      <family val="2"/>
    </font>
    <font>
      <sz val="10"/>
      <color indexed="0"/>
      <name val="Univers 55"/>
    </font>
    <font>
      <sz val="10"/>
      <color indexed="4"/>
      <name val="Univers 55"/>
      <family val="2"/>
    </font>
    <font>
      <sz val="10"/>
      <color indexed="4"/>
      <name val="Univers 55"/>
      <family val="2"/>
    </font>
    <font>
      <b/>
      <sz val="10"/>
      <name val="Univers 45 Light"/>
      <family val="2"/>
    </font>
    <font>
      <i/>
      <sz val="9"/>
      <name val="Berkeley"/>
      <family val="1"/>
    </font>
    <font>
      <sz val="9"/>
      <name val="Univers 65 Bold"/>
    </font>
    <font>
      <sz val="10"/>
      <color rgb="FFFF0000"/>
      <name val="Univers 55"/>
      <family val="2"/>
    </font>
    <font>
      <b/>
      <sz val="10"/>
      <color rgb="FFFF0000"/>
      <name val="Univers 45 Light"/>
      <family val="2"/>
    </font>
    <font>
      <i/>
      <sz val="9"/>
      <color rgb="FFFF0000"/>
      <name val="Univers 55"/>
    </font>
    <font>
      <i/>
      <sz val="10"/>
      <name val="Univers 55"/>
    </font>
    <font>
      <i/>
      <sz val="8"/>
      <name val="Univers 45 Light"/>
    </font>
    <font>
      <i/>
      <sz val="8"/>
      <color theme="1"/>
      <name val="Univers 45 Light"/>
    </font>
    <font>
      <i/>
      <sz val="8"/>
      <color theme="1"/>
      <name val="Univers 55"/>
    </font>
    <font>
      <b/>
      <i/>
      <sz val="8"/>
      <name val="Univers 55"/>
    </font>
    <font>
      <b/>
      <i/>
      <sz val="8"/>
      <name val="Univers 45 Light"/>
      <family val="2"/>
    </font>
    <font>
      <sz val="10"/>
      <name val="Univers 75 Black"/>
    </font>
    <font>
      <b/>
      <sz val="10"/>
      <name val="Univers LT Std 45 Light"/>
      <family val="2"/>
    </font>
    <font>
      <b/>
      <sz val="10"/>
      <name val="Univers 55"/>
    </font>
    <font>
      <b/>
      <vertAlign val="superscript"/>
      <sz val="10"/>
      <name val="Univers 55"/>
    </font>
    <font>
      <vertAlign val="superscript"/>
      <sz val="12"/>
      <name val="Univers 55"/>
    </font>
    <font>
      <vertAlign val="superscript"/>
      <sz val="10"/>
      <name val="Univers 45 Light"/>
    </font>
    <font>
      <b/>
      <sz val="1"/>
      <name val="Univers 45 Light"/>
    </font>
    <font>
      <vertAlign val="superscript"/>
      <sz val="9"/>
      <name val="ITC Berkeley Oldstyle Std"/>
      <family val="1"/>
    </font>
    <font>
      <vertAlign val="superscript"/>
      <sz val="10"/>
      <name val="ITC Berkeley Oldstyle Std"/>
      <family val="1"/>
    </font>
    <font>
      <sz val="10"/>
      <name val="ITC Berkeley Oldstyle Std"/>
      <family val="1"/>
    </font>
    <font>
      <sz val="8"/>
      <name val="ITC Berkeley Oldstyle Std"/>
      <family val="1"/>
    </font>
    <font>
      <sz val="7"/>
      <name val="ITC Berkeley Oldstyle Std"/>
      <family val="1"/>
    </font>
    <font>
      <b/>
      <i/>
      <sz val="9"/>
      <color rgb="FFFF0000"/>
      <name val="Univers 55"/>
      <family val="2"/>
    </font>
    <font>
      <b/>
      <i/>
      <sz val="9"/>
      <color rgb="FF7030A0"/>
      <name val="Univers 55"/>
      <family val="2"/>
    </font>
    <font>
      <sz val="9"/>
      <color rgb="FFFF0000"/>
      <name val="Univers 55"/>
      <family val="2"/>
    </font>
    <font>
      <b/>
      <sz val="14"/>
      <name val="Univers 45 Light"/>
      <family val="2"/>
    </font>
    <font>
      <b/>
      <sz val="14"/>
      <name val="Univers 55"/>
    </font>
  </fonts>
  <fills count="7">
    <fill>
      <patternFill patternType="none"/>
    </fill>
    <fill>
      <patternFill patternType="gray125"/>
    </fill>
    <fill>
      <patternFill patternType="solid">
        <fgColor indexed="44"/>
      </patternFill>
    </fill>
    <fill>
      <patternFill patternType="solid">
        <fgColor indexed="43"/>
      </patternFill>
    </fill>
    <fill>
      <patternFill patternType="solid">
        <fgColor indexed="42"/>
      </patternFill>
    </fill>
    <fill>
      <patternFill patternType="solid">
        <fgColor indexed="12"/>
      </patternFill>
    </fill>
    <fill>
      <patternFill patternType="solid">
        <fgColor theme="0" tint="-4.9989318521683403E-2"/>
        <bgColor indexed="64"/>
      </patternFill>
    </fill>
  </fills>
  <borders count="33">
    <border>
      <left/>
      <right/>
      <top/>
      <bottom/>
      <diagonal/>
    </border>
    <border>
      <left/>
      <right/>
      <top/>
      <bottom style="hair">
        <color indexed="64"/>
      </bottom>
      <diagonal/>
    </border>
    <border>
      <left/>
      <right style="thick">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ck">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thick">
        <color indexed="64"/>
      </right>
      <top style="hair">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hair">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s>
  <cellStyleXfs count="2">
    <xf numFmtId="0" fontId="0" fillId="0" borderId="0" applyAlignment="0"/>
    <xf numFmtId="0" fontId="16" fillId="0" borderId="0" applyFont="0" applyBorder="0" applyAlignment="0" applyProtection="0"/>
  </cellStyleXfs>
  <cellXfs count="343">
    <xf numFmtId="0" fontId="0" fillId="0" borderId="0" xfId="0" applyAlignment="1"/>
    <xf numFmtId="0" fontId="2" fillId="0" borderId="0" xfId="0" applyFont="1" applyAlignment="1"/>
    <xf numFmtId="0" fontId="0" fillId="0" borderId="0" xfId="0" applyBorder="1" applyAlignment="1"/>
    <xf numFmtId="0" fontId="3" fillId="0" borderId="0" xfId="0" applyFont="1" applyAlignment="1">
      <alignment horizontal="left"/>
    </xf>
    <xf numFmtId="0" fontId="0" fillId="0" borderId="0" xfId="0" applyBorder="1" applyAlignment="1">
      <alignment horizontal="left"/>
    </xf>
    <xf numFmtId="0" fontId="0" fillId="0" borderId="0" xfId="0" applyAlignment="1">
      <alignment horizontal="left"/>
    </xf>
    <xf numFmtId="164" fontId="3" fillId="0" borderId="0" xfId="0" applyNumberFormat="1" applyFont="1" applyAlignment="1">
      <alignment horizontal="left"/>
    </xf>
    <xf numFmtId="164" fontId="0" fillId="0" borderId="0" xfId="0" applyNumberFormat="1" applyBorder="1" applyAlignment="1">
      <alignment horizontal="center"/>
    </xf>
    <xf numFmtId="164" fontId="1" fillId="0" borderId="0" xfId="0" applyNumberFormat="1" applyFont="1" applyBorder="1" applyAlignment="1">
      <alignment horizontal="center"/>
    </xf>
    <xf numFmtId="164" fontId="3" fillId="0" borderId="0" xfId="0" applyNumberFormat="1" applyFont="1" applyAlignment="1">
      <alignment horizontal="center"/>
    </xf>
    <xf numFmtId="164" fontId="2" fillId="0" borderId="0" xfId="0" applyNumberFormat="1" applyFont="1" applyAlignment="1">
      <alignment horizontal="center"/>
    </xf>
    <xf numFmtId="164" fontId="0" fillId="0" borderId="0" xfId="0" applyNumberFormat="1" applyAlignment="1">
      <alignment horizontal="center"/>
    </xf>
    <xf numFmtId="164" fontId="0" fillId="0" borderId="0" xfId="0" applyNumberFormat="1" applyBorder="1" applyAlignment="1">
      <alignment horizontal="left"/>
    </xf>
    <xf numFmtId="164" fontId="0" fillId="0" borderId="0" xfId="0" applyNumberFormat="1" applyAlignment="1">
      <alignment horizontal="left"/>
    </xf>
    <xf numFmtId="0" fontId="4" fillId="0" borderId="0" xfId="0" applyFont="1" applyAlignment="1"/>
    <xf numFmtId="165" fontId="4" fillId="0" borderId="0" xfId="0" applyNumberFormat="1" applyFont="1" applyAlignment="1">
      <alignment horizontal="center"/>
    </xf>
    <xf numFmtId="164" fontId="4" fillId="0" borderId="0" xfId="0" applyNumberFormat="1" applyFont="1" applyAlignment="1">
      <alignment horizontal="center"/>
    </xf>
    <xf numFmtId="164" fontId="4" fillId="0" borderId="0" xfId="0" applyNumberFormat="1" applyFont="1" applyBorder="1" applyAlignment="1">
      <alignment horizontal="center"/>
    </xf>
    <xf numFmtId="0" fontId="4" fillId="0" borderId="0" xfId="0" applyFont="1" applyAlignment="1">
      <alignment horizontal="left"/>
    </xf>
    <xf numFmtId="165" fontId="4" fillId="0" borderId="0" xfId="0" applyNumberFormat="1" applyFont="1" applyBorder="1" applyAlignment="1">
      <alignment horizontal="center"/>
    </xf>
    <xf numFmtId="165" fontId="0" fillId="0" borderId="0" xfId="0" applyNumberFormat="1" applyAlignment="1"/>
    <xf numFmtId="0" fontId="6" fillId="0" borderId="0" xfId="0" applyFont="1" applyBorder="1" applyAlignment="1">
      <alignment horizontal="left"/>
    </xf>
    <xf numFmtId="0" fontId="8" fillId="0" borderId="0" xfId="0" applyFont="1" applyAlignment="1"/>
    <xf numFmtId="0" fontId="7" fillId="0" borderId="0" xfId="0" applyFont="1" applyAlignment="1">
      <alignment horizontal="left"/>
    </xf>
    <xf numFmtId="0" fontId="8" fillId="0" borderId="0" xfId="0" applyFont="1" applyBorder="1" applyAlignment="1"/>
    <xf numFmtId="164" fontId="11" fillId="0" borderId="0" xfId="0" applyNumberFormat="1" applyFont="1" applyAlignment="1">
      <alignment horizontal="center"/>
    </xf>
    <xf numFmtId="0" fontId="0" fillId="0" borderId="1" xfId="0" applyBorder="1" applyAlignment="1"/>
    <xf numFmtId="0" fontId="0" fillId="0" borderId="1" xfId="0" applyBorder="1" applyAlignment="1">
      <alignment wrapText="1"/>
    </xf>
    <xf numFmtId="164" fontId="8" fillId="0" borderId="2" xfId="0" applyNumberFormat="1" applyFont="1" applyBorder="1" applyAlignment="1">
      <alignment horizontal="center"/>
    </xf>
    <xf numFmtId="0" fontId="8" fillId="0" borderId="2" xfId="0" applyFont="1" applyBorder="1" applyAlignment="1">
      <alignment horizontal="center"/>
    </xf>
    <xf numFmtId="0" fontId="2" fillId="0" borderId="0" xfId="0" applyFont="1" applyAlignment="1">
      <alignment vertical="center"/>
    </xf>
    <xf numFmtId="0" fontId="10" fillId="0" borderId="0" xfId="0" applyFont="1" applyAlignment="1">
      <alignment vertical="center"/>
    </xf>
    <xf numFmtId="164" fontId="10" fillId="0" borderId="0" xfId="0" applyNumberFormat="1" applyFont="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10" fillId="0" borderId="0" xfId="0" applyFont="1" applyAlignment="1"/>
    <xf numFmtId="0" fontId="12" fillId="0" borderId="0" xfId="0" applyFont="1" applyAlignment="1"/>
    <xf numFmtId="164" fontId="12" fillId="0" borderId="3" xfId="0" applyNumberFormat="1" applyFont="1" applyBorder="1" applyAlignment="1">
      <alignment horizontal="center"/>
    </xf>
    <xf numFmtId="164" fontId="12" fillId="0" borderId="4" xfId="0" applyNumberFormat="1" applyFont="1" applyBorder="1" applyAlignment="1">
      <alignment horizontal="center"/>
    </xf>
    <xf numFmtId="164" fontId="12" fillId="0" borderId="2" xfId="0" applyNumberFormat="1" applyFont="1" applyBorder="1" applyAlignment="1">
      <alignment horizontal="center"/>
    </xf>
    <xf numFmtId="0" fontId="12" fillId="0" borderId="4" xfId="0" applyFont="1" applyBorder="1" applyAlignment="1">
      <alignment horizontal="center"/>
    </xf>
    <xf numFmtId="0" fontId="12" fillId="0" borderId="2" xfId="0" applyFont="1" applyBorder="1" applyAlignment="1">
      <alignment horizontal="center"/>
    </xf>
    <xf numFmtId="0" fontId="12" fillId="0" borderId="0" xfId="0" applyFont="1" applyAlignment="1">
      <alignment horizontal="center"/>
    </xf>
    <xf numFmtId="0" fontId="12" fillId="0" borderId="0" xfId="0" applyFont="1" applyBorder="1" applyAlignment="1"/>
    <xf numFmtId="0" fontId="12" fillId="0" borderId="3" xfId="0" applyFont="1" applyBorder="1" applyAlignment="1">
      <alignment horizontal="center"/>
    </xf>
    <xf numFmtId="0" fontId="12" fillId="0" borderId="0" xfId="0" applyFont="1" applyBorder="1" applyAlignment="1">
      <alignment horizontal="center"/>
    </xf>
    <xf numFmtId="0" fontId="12" fillId="0" borderId="1" xfId="0" applyFont="1" applyBorder="1" applyAlignment="1"/>
    <xf numFmtId="0" fontId="12" fillId="0" borderId="1" xfId="0" applyFont="1" applyBorder="1" applyAlignment="1">
      <alignment horizontal="left"/>
    </xf>
    <xf numFmtId="165" fontId="12" fillId="0" borderId="5" xfId="0" applyNumberFormat="1" applyFont="1" applyBorder="1" applyAlignment="1">
      <alignment horizontal="center"/>
    </xf>
    <xf numFmtId="165" fontId="12" fillId="0" borderId="6" xfId="0" applyNumberFormat="1" applyFont="1" applyBorder="1" applyAlignment="1">
      <alignment horizontal="center"/>
    </xf>
    <xf numFmtId="164" fontId="12" fillId="3" borderId="7" xfId="0" applyNumberFormat="1" applyFont="1" applyFill="1" applyBorder="1" applyAlignment="1">
      <alignment horizontal="center"/>
    </xf>
    <xf numFmtId="164" fontId="12" fillId="4" borderId="7" xfId="0" applyNumberFormat="1" applyFont="1" applyFill="1" applyBorder="1" applyAlignment="1">
      <alignment horizontal="center"/>
    </xf>
    <xf numFmtId="165" fontId="12" fillId="0" borderId="1" xfId="0" applyNumberFormat="1" applyFont="1" applyBorder="1" applyAlignment="1">
      <alignment horizontal="center"/>
    </xf>
    <xf numFmtId="164" fontId="12" fillId="2" borderId="1" xfId="0" applyNumberFormat="1" applyFont="1" applyFill="1" applyBorder="1" applyAlignment="1">
      <alignment horizontal="center"/>
    </xf>
    <xf numFmtId="0" fontId="12" fillId="0" borderId="8" xfId="0" applyFont="1" applyBorder="1" applyAlignment="1"/>
    <xf numFmtId="0" fontId="12" fillId="0" borderId="8" xfId="0" applyFont="1" applyBorder="1" applyAlignment="1">
      <alignment horizontal="left"/>
    </xf>
    <xf numFmtId="165" fontId="12" fillId="0" borderId="9" xfId="0" applyNumberFormat="1" applyFont="1" applyBorder="1" applyAlignment="1">
      <alignment horizontal="center"/>
    </xf>
    <xf numFmtId="165" fontId="12" fillId="0" borderId="10" xfId="0" applyNumberFormat="1" applyFont="1" applyBorder="1" applyAlignment="1">
      <alignment horizontal="center"/>
    </xf>
    <xf numFmtId="164" fontId="12" fillId="3" borderId="11" xfId="0" applyNumberFormat="1" applyFont="1" applyFill="1" applyBorder="1" applyAlignment="1">
      <alignment horizontal="center"/>
    </xf>
    <xf numFmtId="164" fontId="12" fillId="4" borderId="11" xfId="0" applyNumberFormat="1" applyFont="1" applyFill="1" applyBorder="1" applyAlignment="1">
      <alignment horizontal="center"/>
    </xf>
    <xf numFmtId="165" fontId="12" fillId="0" borderId="8" xfId="0" applyNumberFormat="1" applyFont="1" applyBorder="1" applyAlignment="1">
      <alignment horizontal="center"/>
    </xf>
    <xf numFmtId="164" fontId="12" fillId="2" borderId="8" xfId="0" applyNumberFormat="1" applyFont="1" applyFill="1" applyBorder="1" applyAlignment="1">
      <alignment horizontal="center"/>
    </xf>
    <xf numFmtId="0" fontId="12" fillId="0" borderId="12" xfId="0" applyFont="1" applyBorder="1" applyAlignment="1"/>
    <xf numFmtId="0" fontId="12" fillId="0" borderId="12" xfId="0" applyFont="1" applyBorder="1" applyAlignment="1">
      <alignment horizontal="left"/>
    </xf>
    <xf numFmtId="165" fontId="12" fillId="0" borderId="13" xfId="0" applyNumberFormat="1" applyFont="1" applyBorder="1" applyAlignment="1">
      <alignment horizontal="center"/>
    </xf>
    <xf numFmtId="165" fontId="12" fillId="0" borderId="14" xfId="0" applyNumberFormat="1" applyFont="1" applyBorder="1" applyAlignment="1">
      <alignment horizontal="center"/>
    </xf>
    <xf numFmtId="164" fontId="12" fillId="3" borderId="15" xfId="0" applyNumberFormat="1" applyFont="1" applyFill="1" applyBorder="1" applyAlignment="1">
      <alignment horizontal="center"/>
    </xf>
    <xf numFmtId="164" fontId="12" fillId="4" borderId="15" xfId="0" applyNumberFormat="1" applyFont="1" applyFill="1" applyBorder="1" applyAlignment="1">
      <alignment horizontal="center"/>
    </xf>
    <xf numFmtId="165" fontId="12" fillId="0" borderId="12" xfId="0" applyNumberFormat="1" applyFont="1" applyBorder="1" applyAlignment="1">
      <alignment horizontal="center"/>
    </xf>
    <xf numFmtId="164" fontId="12" fillId="2" borderId="12" xfId="0" applyNumberFormat="1" applyFont="1" applyFill="1" applyBorder="1" applyAlignment="1">
      <alignment horizontal="center"/>
    </xf>
    <xf numFmtId="165" fontId="13" fillId="0" borderId="5" xfId="0" applyNumberFormat="1" applyFont="1" applyBorder="1" applyAlignment="1">
      <alignment horizontal="center"/>
    </xf>
    <xf numFmtId="165" fontId="13" fillId="0" borderId="6" xfId="0" applyNumberFormat="1" applyFont="1" applyBorder="1" applyAlignment="1">
      <alignment horizontal="center"/>
    </xf>
    <xf numFmtId="165" fontId="12" fillId="0" borderId="0" xfId="0" applyNumberFormat="1" applyFont="1" applyBorder="1" applyAlignment="1">
      <alignment horizontal="center"/>
    </xf>
    <xf numFmtId="164" fontId="12" fillId="0" borderId="7" xfId="0" applyNumberFormat="1" applyFont="1" applyBorder="1" applyAlignment="1">
      <alignment horizontal="center"/>
    </xf>
    <xf numFmtId="164" fontId="12" fillId="0" borderId="1" xfId="0" applyNumberFormat="1" applyFont="1" applyBorder="1" applyAlignment="1">
      <alignment horizontal="center"/>
    </xf>
    <xf numFmtId="165" fontId="12" fillId="0" borderId="5" xfId="0" quotePrefix="1" applyNumberFormat="1" applyFont="1" applyBorder="1" applyAlignment="1">
      <alignment horizontal="center"/>
    </xf>
    <xf numFmtId="165" fontId="12" fillId="0" borderId="6" xfId="0" quotePrefix="1" applyNumberFormat="1" applyFont="1" applyBorder="1" applyAlignment="1">
      <alignment horizontal="center"/>
    </xf>
    <xf numFmtId="0" fontId="14" fillId="0" borderId="1" xfId="0" applyFont="1" applyBorder="1" applyAlignment="1"/>
    <xf numFmtId="0" fontId="14" fillId="0" borderId="1" xfId="0" applyFont="1" applyBorder="1" applyAlignment="1">
      <alignment wrapText="1"/>
    </xf>
    <xf numFmtId="165" fontId="14" fillId="0" borderId="5" xfId="0" applyNumberFormat="1" applyFont="1" applyBorder="1" applyAlignment="1">
      <alignment horizontal="center"/>
    </xf>
    <xf numFmtId="165" fontId="14" fillId="0" borderId="6" xfId="0" applyNumberFormat="1" applyFont="1" applyBorder="1" applyAlignment="1">
      <alignment horizontal="center"/>
    </xf>
    <xf numFmtId="164" fontId="14" fillId="0" borderId="7" xfId="0" applyNumberFormat="1" applyFont="1" applyBorder="1" applyAlignment="1">
      <alignment horizontal="center"/>
    </xf>
    <xf numFmtId="165" fontId="14" fillId="0" borderId="1" xfId="0" applyNumberFormat="1" applyFont="1" applyBorder="1" applyAlignment="1">
      <alignment horizontal="center"/>
    </xf>
    <xf numFmtId="164" fontId="14" fillId="0" borderId="1" xfId="0" applyNumberFormat="1" applyFont="1" applyBorder="1" applyAlignment="1">
      <alignment horizontal="center"/>
    </xf>
    <xf numFmtId="0" fontId="14" fillId="0" borderId="0" xfId="0" applyFont="1" applyAlignment="1"/>
    <xf numFmtId="0" fontId="0" fillId="5" borderId="0" xfId="0" applyFill="1" applyAlignment="1"/>
    <xf numFmtId="164" fontId="15" fillId="0" borderId="3" xfId="0" applyNumberFormat="1" applyFont="1" applyBorder="1" applyAlignment="1">
      <alignment horizontal="center"/>
    </xf>
    <xf numFmtId="164" fontId="15" fillId="0" borderId="4" xfId="0" applyNumberFormat="1"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0" xfId="0" applyFont="1" applyAlignment="1">
      <alignment horizontal="center"/>
    </xf>
    <xf numFmtId="0" fontId="15" fillId="0" borderId="0" xfId="0" applyFont="1" applyBorder="1" applyAlignment="1">
      <alignment horizontal="center"/>
    </xf>
    <xf numFmtId="165" fontId="17" fillId="0" borderId="5" xfId="0" applyNumberFormat="1" applyFont="1" applyBorder="1" applyAlignment="1">
      <alignment horizontal="center"/>
    </xf>
    <xf numFmtId="0" fontId="18" fillId="0" borderId="16" xfId="0" applyFont="1" applyBorder="1" applyAlignment="1">
      <alignment horizontal="left"/>
    </xf>
    <xf numFmtId="0" fontId="19" fillId="0" borderId="0" xfId="0" applyFont="1" applyAlignment="1"/>
    <xf numFmtId="0" fontId="20" fillId="0" borderId="17" xfId="0" applyFont="1" applyBorder="1" applyAlignment="1">
      <alignment horizontal="left"/>
    </xf>
    <xf numFmtId="164" fontId="19" fillId="0" borderId="17" xfId="0" applyNumberFormat="1" applyFont="1" applyBorder="1" applyAlignment="1">
      <alignment horizontal="center"/>
    </xf>
    <xf numFmtId="0" fontId="19" fillId="0" borderId="0" xfId="0" applyFont="1" applyBorder="1" applyAlignment="1"/>
    <xf numFmtId="0" fontId="19" fillId="0" borderId="0" xfId="0" applyFont="1" applyBorder="1" applyAlignment="1">
      <alignment vertical="center"/>
    </xf>
    <xf numFmtId="164" fontId="19" fillId="0" borderId="0" xfId="0" applyNumberFormat="1" applyFont="1" applyBorder="1" applyAlignment="1">
      <alignment horizontal="right" vertical="center"/>
    </xf>
    <xf numFmtId="0" fontId="19" fillId="0" borderId="1" xfId="0" applyFont="1" applyBorder="1" applyAlignment="1">
      <alignment vertical="center"/>
    </xf>
    <xf numFmtId="164" fontId="19" fillId="0" borderId="1" xfId="0" applyNumberFormat="1" applyFont="1" applyBorder="1" applyAlignment="1">
      <alignment horizontal="right" vertical="center"/>
    </xf>
    <xf numFmtId="0" fontId="20" fillId="0" borderId="0" xfId="0" applyFont="1" applyBorder="1" applyAlignment="1">
      <alignment horizontal="left"/>
    </xf>
    <xf numFmtId="164" fontId="19" fillId="0" borderId="0" xfId="0" applyNumberFormat="1" applyFont="1" applyBorder="1" applyAlignment="1">
      <alignment horizontal="center"/>
    </xf>
    <xf numFmtId="0" fontId="19" fillId="0" borderId="16" xfId="0" applyFont="1" applyBorder="1" applyAlignment="1">
      <alignment vertical="center"/>
    </xf>
    <xf numFmtId="164" fontId="19" fillId="0" borderId="16" xfId="0" applyNumberFormat="1" applyFont="1" applyBorder="1" applyAlignment="1">
      <alignment horizontal="right" vertical="center"/>
    </xf>
    <xf numFmtId="0" fontId="20" fillId="0" borderId="0" xfId="0" applyFont="1" applyAlignment="1">
      <alignment horizontal="left"/>
    </xf>
    <xf numFmtId="164" fontId="19" fillId="0" borderId="0" xfId="0" applyNumberFormat="1" applyFont="1" applyAlignment="1">
      <alignment horizontal="center"/>
    </xf>
    <xf numFmtId="0" fontId="19" fillId="0" borderId="0" xfId="0" applyFont="1" applyAlignment="1">
      <alignment vertical="center"/>
    </xf>
    <xf numFmtId="0" fontId="19" fillId="0" borderId="0" xfId="0" applyFont="1" applyAlignment="1">
      <alignment horizontal="left" vertical="center"/>
    </xf>
    <xf numFmtId="164" fontId="19" fillId="0" borderId="0" xfId="0" applyNumberFormat="1" applyFont="1" applyAlignment="1">
      <alignment horizontal="right" vertical="center"/>
    </xf>
    <xf numFmtId="1" fontId="18" fillId="0" borderId="16" xfId="0" applyNumberFormat="1" applyFont="1" applyBorder="1" applyAlignment="1">
      <alignment horizontal="right" vertical="center"/>
    </xf>
    <xf numFmtId="165" fontId="21" fillId="0" borderId="5" xfId="0" applyNumberFormat="1" applyFont="1" applyBorder="1" applyAlignment="1">
      <alignment horizontal="center"/>
    </xf>
    <xf numFmtId="165" fontId="21" fillId="0" borderId="6" xfId="0" applyNumberFormat="1" applyFont="1" applyBorder="1" applyAlignment="1">
      <alignment horizontal="center"/>
    </xf>
    <xf numFmtId="165" fontId="21" fillId="0" borderId="9" xfId="0" applyNumberFormat="1" applyFont="1" applyBorder="1" applyAlignment="1">
      <alignment horizontal="center"/>
    </xf>
    <xf numFmtId="165" fontId="21" fillId="0" borderId="10" xfId="0" applyNumberFormat="1" applyFont="1" applyBorder="1" applyAlignment="1">
      <alignment horizontal="center"/>
    </xf>
    <xf numFmtId="165" fontId="21" fillId="0" borderId="13" xfId="0" applyNumberFormat="1" applyFont="1" applyBorder="1" applyAlignment="1">
      <alignment horizontal="center"/>
    </xf>
    <xf numFmtId="165" fontId="21" fillId="0" borderId="14" xfId="0" applyNumberFormat="1" applyFont="1" applyBorder="1" applyAlignment="1">
      <alignment horizontal="center"/>
    </xf>
    <xf numFmtId="0" fontId="22" fillId="0" borderId="0" xfId="0" applyFont="1" applyAlignment="1"/>
    <xf numFmtId="165" fontId="23" fillId="0" borderId="5" xfId="0" applyNumberFormat="1" applyFont="1" applyBorder="1" applyAlignment="1">
      <alignment horizontal="center"/>
    </xf>
    <xf numFmtId="165" fontId="23" fillId="0" borderId="6" xfId="0" applyNumberFormat="1" applyFont="1" applyBorder="1" applyAlignment="1">
      <alignment horizontal="center"/>
    </xf>
    <xf numFmtId="165" fontId="23" fillId="0" borderId="9" xfId="0" applyNumberFormat="1" applyFont="1" applyBorder="1" applyAlignment="1">
      <alignment horizontal="center"/>
    </xf>
    <xf numFmtId="165" fontId="23" fillId="0" borderId="10" xfId="0" applyNumberFormat="1" applyFont="1" applyBorder="1" applyAlignment="1">
      <alignment horizontal="center"/>
    </xf>
    <xf numFmtId="165" fontId="23" fillId="0" borderId="13" xfId="0" applyNumberFormat="1" applyFont="1" applyBorder="1" applyAlignment="1">
      <alignment horizontal="center"/>
    </xf>
    <xf numFmtId="165" fontId="23" fillId="0" borderId="14" xfId="0" applyNumberFormat="1" applyFont="1" applyBorder="1" applyAlignment="1">
      <alignment horizontal="center"/>
    </xf>
    <xf numFmtId="0" fontId="24" fillId="0" borderId="0" xfId="0" applyFont="1" applyAlignment="1"/>
    <xf numFmtId="165" fontId="23" fillId="0" borderId="5" xfId="0" quotePrefix="1" applyNumberFormat="1" applyFont="1" applyBorder="1" applyAlignment="1">
      <alignment horizontal="center"/>
    </xf>
    <xf numFmtId="165" fontId="23" fillId="0" borderId="6" xfId="0" quotePrefix="1" applyNumberFormat="1" applyFont="1" applyBorder="1" applyAlignment="1">
      <alignment horizontal="center"/>
    </xf>
    <xf numFmtId="165" fontId="25" fillId="0" borderId="5" xfId="0" applyNumberFormat="1" applyFont="1" applyBorder="1" applyAlignment="1">
      <alignment horizontal="center"/>
    </xf>
    <xf numFmtId="165" fontId="25" fillId="0" borderId="6" xfId="0" applyNumberFormat="1" applyFont="1" applyBorder="1" applyAlignment="1">
      <alignment horizontal="center"/>
    </xf>
    <xf numFmtId="164" fontId="26" fillId="0" borderId="7" xfId="0" applyNumberFormat="1" applyFont="1" applyBorder="1" applyAlignment="1">
      <alignment horizontal="center"/>
    </xf>
    <xf numFmtId="165" fontId="26" fillId="0" borderId="6" xfId="0" applyNumberFormat="1" applyFont="1" applyBorder="1" applyAlignment="1">
      <alignment horizontal="center"/>
    </xf>
    <xf numFmtId="165" fontId="26" fillId="0" borderId="1" xfId="0" applyNumberFormat="1" applyFont="1" applyBorder="1" applyAlignment="1">
      <alignment horizontal="center"/>
    </xf>
    <xf numFmtId="164" fontId="26" fillId="0" borderId="1" xfId="0" applyNumberFormat="1" applyFont="1" applyBorder="1" applyAlignment="1">
      <alignment horizontal="center"/>
    </xf>
    <xf numFmtId="0" fontId="26" fillId="0" borderId="0" xfId="0" applyFont="1" applyAlignment="1"/>
    <xf numFmtId="165" fontId="23" fillId="0" borderId="1" xfId="0" applyNumberFormat="1" applyFont="1" applyBorder="1" applyAlignment="1">
      <alignment horizontal="center"/>
    </xf>
    <xf numFmtId="165" fontId="23" fillId="0" borderId="8" xfId="0" applyNumberFormat="1" applyFont="1" applyBorder="1" applyAlignment="1">
      <alignment horizontal="center"/>
    </xf>
    <xf numFmtId="165" fontId="23" fillId="0" borderId="12" xfId="0" applyNumberFormat="1" applyFont="1" applyBorder="1" applyAlignment="1">
      <alignment horizontal="center"/>
    </xf>
    <xf numFmtId="164" fontId="19" fillId="0" borderId="12" xfId="0" applyNumberFormat="1" applyFont="1" applyBorder="1" applyAlignment="1">
      <alignment horizontal="center"/>
    </xf>
    <xf numFmtId="0" fontId="30" fillId="0" borderId="0" xfId="0" applyFont="1" applyAlignment="1"/>
    <xf numFmtId="0" fontId="31" fillId="0" borderId="1" xfId="0" applyFont="1" applyBorder="1" applyAlignment="1">
      <alignment wrapText="1"/>
    </xf>
    <xf numFmtId="165" fontId="31" fillId="0" borderId="5" xfId="0" applyNumberFormat="1" applyFont="1" applyBorder="1" applyAlignment="1">
      <alignment horizontal="center"/>
    </xf>
    <xf numFmtId="165" fontId="31" fillId="0" borderId="6" xfId="0" applyNumberFormat="1" applyFont="1" applyBorder="1" applyAlignment="1">
      <alignment horizontal="center"/>
    </xf>
    <xf numFmtId="164" fontId="31" fillId="3" borderId="7" xfId="0" applyNumberFormat="1" applyFont="1" applyFill="1" applyBorder="1" applyAlignment="1">
      <alignment horizontal="center"/>
    </xf>
    <xf numFmtId="164" fontId="31" fillId="4" borderId="7" xfId="0" applyNumberFormat="1" applyFont="1" applyFill="1" applyBorder="1" applyAlignment="1">
      <alignment horizontal="center"/>
    </xf>
    <xf numFmtId="165" fontId="31" fillId="0" borderId="1" xfId="0" applyNumberFormat="1" applyFont="1" applyBorder="1" applyAlignment="1">
      <alignment horizontal="center"/>
    </xf>
    <xf numFmtId="164" fontId="31" fillId="2" borderId="1" xfId="0" applyNumberFormat="1" applyFont="1" applyFill="1" applyBorder="1" applyAlignment="1">
      <alignment horizontal="center"/>
    </xf>
    <xf numFmtId="0" fontId="31" fillId="0" borderId="0" xfId="0" applyFont="1" applyAlignment="1"/>
    <xf numFmtId="164" fontId="15" fillId="0" borderId="18" xfId="0" applyNumberFormat="1" applyFont="1" applyBorder="1" applyAlignment="1">
      <alignment horizontal="center"/>
    </xf>
    <xf numFmtId="164" fontId="15" fillId="0" borderId="19" xfId="0" applyNumberFormat="1"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164" fontId="18" fillId="0" borderId="21" xfId="0" applyNumberFormat="1" applyFont="1" applyBorder="1" applyAlignment="1">
      <alignment horizontal="center"/>
    </xf>
    <xf numFmtId="0" fontId="18" fillId="0" borderId="21" xfId="0" applyFont="1" applyBorder="1" applyAlignment="1">
      <alignment horizontal="center"/>
    </xf>
    <xf numFmtId="0" fontId="18" fillId="0" borderId="20" xfId="0" applyFont="1" applyBorder="1" applyAlignment="1"/>
    <xf numFmtId="0" fontId="20" fillId="0" borderId="16" xfId="0" applyFont="1" applyBorder="1" applyAlignment="1">
      <alignment horizontal="left"/>
    </xf>
    <xf numFmtId="164" fontId="19" fillId="0" borderId="16" xfId="0" applyNumberFormat="1" applyFont="1" applyBorder="1" applyAlignment="1">
      <alignment horizontal="center"/>
    </xf>
    <xf numFmtId="164" fontId="19" fillId="0" borderId="22" xfId="0" applyNumberFormat="1" applyFont="1" applyBorder="1" applyAlignment="1">
      <alignment horizontal="center"/>
    </xf>
    <xf numFmtId="1" fontId="18" fillId="0" borderId="0" xfId="0" applyNumberFormat="1" applyFont="1" applyBorder="1" applyAlignment="1">
      <alignment horizontal="right" vertical="center"/>
    </xf>
    <xf numFmtId="0" fontId="4" fillId="0" borderId="0" xfId="0" applyFont="1" applyBorder="1" applyAlignment="1">
      <alignment horizontal="left"/>
    </xf>
    <xf numFmtId="164" fontId="8" fillId="0" borderId="0" xfId="0" applyNumberFormat="1" applyFont="1" applyBorder="1" applyAlignment="1">
      <alignment horizontal="center" vertical="center"/>
    </xf>
    <xf numFmtId="49" fontId="27" fillId="0" borderId="0" xfId="0" applyNumberFormat="1" applyFont="1" applyAlignment="1">
      <alignment horizontal="right" vertical="center"/>
    </xf>
    <xf numFmtId="49" fontId="27" fillId="0" borderId="0" xfId="0" applyNumberFormat="1" applyFont="1" applyBorder="1" applyAlignment="1">
      <alignment horizontal="right" vertical="center"/>
    </xf>
    <xf numFmtId="0" fontId="27" fillId="0" borderId="0" xfId="0" applyFont="1" applyBorder="1" applyAlignment="1">
      <alignment horizontal="right" vertical="center"/>
    </xf>
    <xf numFmtId="164" fontId="27" fillId="0" borderId="0" xfId="0" applyNumberFormat="1" applyFont="1" applyBorder="1" applyAlignment="1">
      <alignment horizontal="right" vertical="center"/>
    </xf>
    <xf numFmtId="0" fontId="20" fillId="0" borderId="0" xfId="0" applyFont="1" applyBorder="1" applyAlignment="1">
      <alignment horizontal="right" vertical="center"/>
    </xf>
    <xf numFmtId="49" fontId="27" fillId="0" borderId="16" xfId="0" applyNumberFormat="1" applyFont="1"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20" fillId="0" borderId="0" xfId="0" applyFont="1" applyBorder="1" applyAlignment="1"/>
    <xf numFmtId="166" fontId="29" fillId="0" borderId="0" xfId="0" applyNumberFormat="1" applyFont="1" applyBorder="1" applyAlignment="1">
      <alignment horizontal="center"/>
    </xf>
    <xf numFmtId="165" fontId="31" fillId="0" borderId="3" xfId="0" applyNumberFormat="1" applyFont="1" applyBorder="1" applyAlignment="1">
      <alignment horizontal="center"/>
    </xf>
    <xf numFmtId="165" fontId="21" fillId="0" borderId="12" xfId="0" applyNumberFormat="1" applyFont="1" applyBorder="1" applyAlignment="1">
      <alignment horizontal="center"/>
    </xf>
    <xf numFmtId="0" fontId="0" fillId="0" borderId="12" xfId="0" applyBorder="1" applyAlignment="1"/>
    <xf numFmtId="164" fontId="19" fillId="0" borderId="0" xfId="0" applyNumberFormat="1" applyFont="1" applyFill="1" applyBorder="1" applyAlignment="1">
      <alignment horizontal="center"/>
    </xf>
    <xf numFmtId="0" fontId="4" fillId="0" borderId="1" xfId="0" applyFont="1" applyBorder="1" applyAlignment="1">
      <alignment horizontal="left"/>
    </xf>
    <xf numFmtId="164" fontId="4" fillId="3" borderId="7" xfId="0" applyNumberFormat="1" applyFont="1" applyFill="1" applyBorder="1" applyAlignment="1">
      <alignment horizontal="center"/>
    </xf>
    <xf numFmtId="164" fontId="4" fillId="4" borderId="7" xfId="0" applyNumberFormat="1" applyFont="1" applyFill="1" applyBorder="1" applyAlignment="1">
      <alignment horizontal="center"/>
    </xf>
    <xf numFmtId="165" fontId="21" fillId="0" borderId="1" xfId="0" applyNumberFormat="1" applyFont="1" applyBorder="1" applyAlignment="1">
      <alignment horizontal="center"/>
    </xf>
    <xf numFmtId="164" fontId="4" fillId="2" borderId="1" xfId="0" applyNumberFormat="1" applyFont="1" applyFill="1" applyBorder="1" applyAlignment="1">
      <alignment horizontal="center"/>
    </xf>
    <xf numFmtId="0" fontId="4" fillId="0" borderId="8" xfId="0" applyFont="1" applyBorder="1" applyAlignment="1">
      <alignment horizontal="left"/>
    </xf>
    <xf numFmtId="164" fontId="4" fillId="3" borderId="11" xfId="0" applyNumberFormat="1" applyFont="1" applyFill="1" applyBorder="1" applyAlignment="1">
      <alignment horizontal="center"/>
    </xf>
    <xf numFmtId="164" fontId="4" fillId="4" borderId="11" xfId="0" applyNumberFormat="1" applyFont="1" applyFill="1" applyBorder="1" applyAlignment="1">
      <alignment horizontal="center"/>
    </xf>
    <xf numFmtId="165" fontId="21" fillId="0" borderId="8" xfId="0" applyNumberFormat="1" applyFont="1" applyBorder="1" applyAlignment="1">
      <alignment horizontal="center"/>
    </xf>
    <xf numFmtId="164" fontId="4" fillId="2" borderId="8" xfId="0" applyNumberFormat="1" applyFont="1" applyFill="1" applyBorder="1" applyAlignment="1">
      <alignment horizontal="center"/>
    </xf>
    <xf numFmtId="0" fontId="4" fillId="0" borderId="12" xfId="0" applyFont="1" applyBorder="1" applyAlignment="1">
      <alignment horizontal="left"/>
    </xf>
    <xf numFmtId="164" fontId="4" fillId="3" borderId="15" xfId="0" applyNumberFormat="1" applyFont="1" applyFill="1" applyBorder="1" applyAlignment="1">
      <alignment horizontal="center"/>
    </xf>
    <xf numFmtId="164" fontId="4" fillId="4" borderId="15" xfId="0" applyNumberFormat="1" applyFont="1" applyFill="1" applyBorder="1" applyAlignment="1">
      <alignment horizontal="center"/>
    </xf>
    <xf numFmtId="164" fontId="4" fillId="2" borderId="12" xfId="0" applyNumberFormat="1" applyFont="1" applyFill="1" applyBorder="1" applyAlignment="1">
      <alignment horizontal="center"/>
    </xf>
    <xf numFmtId="0" fontId="33" fillId="0" borderId="0" xfId="0" applyFont="1" applyAlignment="1"/>
    <xf numFmtId="0" fontId="0" fillId="0" borderId="8" xfId="0" applyBorder="1" applyAlignment="1"/>
    <xf numFmtId="0" fontId="14" fillId="0" borderId="0" xfId="0" applyFont="1" applyBorder="1" applyAlignment="1">
      <alignment wrapText="1"/>
    </xf>
    <xf numFmtId="165" fontId="25" fillId="0" borderId="0" xfId="0" applyNumberFormat="1" applyFont="1" applyBorder="1" applyAlignment="1">
      <alignment horizontal="center"/>
    </xf>
    <xf numFmtId="164" fontId="26" fillId="0" borderId="0" xfId="0" applyNumberFormat="1" applyFont="1" applyBorder="1" applyAlignment="1">
      <alignment horizontal="center"/>
    </xf>
    <xf numFmtId="165" fontId="26" fillId="0" borderId="0" xfId="0" applyNumberFormat="1" applyFont="1" applyBorder="1" applyAlignment="1">
      <alignment horizontal="center"/>
    </xf>
    <xf numFmtId="0" fontId="32" fillId="0" borderId="0" xfId="0" applyFont="1" applyFill="1" applyBorder="1" applyAlignment="1"/>
    <xf numFmtId="165" fontId="31" fillId="0" borderId="0" xfId="0" applyNumberFormat="1" applyFont="1" applyBorder="1" applyAlignment="1">
      <alignment horizontal="center"/>
    </xf>
    <xf numFmtId="164" fontId="31" fillId="2" borderId="0" xfId="0" applyNumberFormat="1" applyFont="1" applyFill="1" applyBorder="1" applyAlignment="1">
      <alignment horizontal="center"/>
    </xf>
    <xf numFmtId="165" fontId="24" fillId="0" borderId="0" xfId="0" applyNumberFormat="1" applyFont="1" applyAlignment="1"/>
    <xf numFmtId="0" fontId="34" fillId="0" borderId="1" xfId="0" applyFont="1" applyBorder="1" applyAlignment="1">
      <alignment wrapText="1"/>
    </xf>
    <xf numFmtId="0" fontId="35" fillId="0" borderId="1" xfId="0" applyFont="1" applyBorder="1" applyAlignment="1">
      <alignment wrapText="1"/>
    </xf>
    <xf numFmtId="165" fontId="21" fillId="0" borderId="3" xfId="0" applyNumberFormat="1" applyFont="1" applyBorder="1" applyAlignment="1">
      <alignment horizontal="center"/>
    </xf>
    <xf numFmtId="165" fontId="21" fillId="0" borderId="0" xfId="0" applyNumberFormat="1" applyFont="1" applyBorder="1" applyAlignment="1">
      <alignment horizontal="center"/>
    </xf>
    <xf numFmtId="165" fontId="31" fillId="0" borderId="9" xfId="0" applyNumberFormat="1" applyFont="1" applyBorder="1" applyAlignment="1">
      <alignment horizontal="center"/>
    </xf>
    <xf numFmtId="0" fontId="35" fillId="0" borderId="12" xfId="0" applyFont="1" applyBorder="1" applyAlignment="1"/>
    <xf numFmtId="0" fontId="0" fillId="0" borderId="16" xfId="0" applyBorder="1" applyAlignment="1"/>
    <xf numFmtId="0" fontId="22" fillId="0" borderId="16" xfId="0" applyFont="1" applyBorder="1" applyAlignment="1"/>
    <xf numFmtId="0" fontId="24" fillId="0" borderId="16" xfId="0" applyFont="1" applyBorder="1" applyAlignment="1"/>
    <xf numFmtId="0" fontId="36" fillId="0" borderId="12" xfId="0" applyFont="1" applyFill="1" applyBorder="1" applyAlignment="1"/>
    <xf numFmtId="0" fontId="36" fillId="0" borderId="0" xfId="0" applyFont="1" applyFill="1" applyBorder="1" applyAlignment="1"/>
    <xf numFmtId="0" fontId="37" fillId="0" borderId="0" xfId="0" applyFont="1" applyAlignment="1"/>
    <xf numFmtId="165" fontId="38" fillId="0" borderId="5" xfId="0" applyNumberFormat="1" applyFont="1" applyBorder="1" applyAlignment="1">
      <alignment horizontal="center"/>
    </xf>
    <xf numFmtId="164" fontId="38" fillId="3" borderId="7" xfId="0" applyNumberFormat="1" applyFont="1" applyFill="1" applyBorder="1" applyAlignment="1">
      <alignment horizontal="center"/>
    </xf>
    <xf numFmtId="164" fontId="38" fillId="4" borderId="7" xfId="0" applyNumberFormat="1" applyFont="1" applyFill="1" applyBorder="1" applyAlignment="1">
      <alignment horizontal="center"/>
    </xf>
    <xf numFmtId="165" fontId="38" fillId="0" borderId="1" xfId="0" applyNumberFormat="1" applyFont="1" applyBorder="1" applyAlignment="1">
      <alignment horizontal="center"/>
    </xf>
    <xf numFmtId="164" fontId="38" fillId="2" borderId="1" xfId="0" applyNumberFormat="1" applyFont="1" applyFill="1" applyBorder="1" applyAlignment="1">
      <alignment horizontal="center"/>
    </xf>
    <xf numFmtId="0" fontId="34" fillId="0" borderId="8" xfId="0" applyFont="1" applyBorder="1" applyAlignment="1">
      <alignment wrapText="1"/>
    </xf>
    <xf numFmtId="0" fontId="31" fillId="0" borderId="8" xfId="0" applyFont="1" applyBorder="1" applyAlignment="1">
      <alignment wrapText="1"/>
    </xf>
    <xf numFmtId="164" fontId="31" fillId="3" borderId="11" xfId="0" applyNumberFormat="1" applyFont="1" applyFill="1" applyBorder="1" applyAlignment="1">
      <alignment horizontal="center"/>
    </xf>
    <xf numFmtId="164" fontId="31" fillId="4" borderId="11" xfId="0" applyNumberFormat="1" applyFont="1" applyFill="1" applyBorder="1" applyAlignment="1">
      <alignment horizontal="center"/>
    </xf>
    <xf numFmtId="165" fontId="31" fillId="0" borderId="8" xfId="0" applyNumberFormat="1" applyFont="1" applyBorder="1" applyAlignment="1">
      <alignment horizontal="center"/>
    </xf>
    <xf numFmtId="164" fontId="31" fillId="2" borderId="8" xfId="0" applyNumberFormat="1" applyFont="1" applyFill="1" applyBorder="1" applyAlignment="1">
      <alignment horizontal="center"/>
    </xf>
    <xf numFmtId="164" fontId="31" fillId="4" borderId="8" xfId="0" applyNumberFormat="1" applyFont="1" applyFill="1" applyBorder="1" applyAlignment="1">
      <alignment horizontal="center"/>
    </xf>
    <xf numFmtId="164" fontId="31" fillId="3" borderId="8" xfId="0" applyNumberFormat="1" applyFont="1" applyFill="1" applyBorder="1" applyAlignment="1">
      <alignment horizontal="center"/>
    </xf>
    <xf numFmtId="0" fontId="32" fillId="0" borderId="16" xfId="0" applyFont="1" applyFill="1" applyBorder="1" applyAlignment="1"/>
    <xf numFmtId="0" fontId="14" fillId="0" borderId="22" xfId="0" applyFont="1" applyBorder="1" applyAlignment="1">
      <alignment wrapText="1"/>
    </xf>
    <xf numFmtId="165" fontId="25" fillId="0" borderId="22" xfId="0" applyNumberFormat="1" applyFont="1" applyBorder="1" applyAlignment="1">
      <alignment horizontal="center"/>
    </xf>
    <xf numFmtId="164" fontId="26" fillId="0" borderId="22" xfId="0" applyNumberFormat="1" applyFont="1" applyBorder="1" applyAlignment="1">
      <alignment horizontal="center"/>
    </xf>
    <xf numFmtId="165" fontId="26" fillId="0" borderId="22" xfId="0" applyNumberFormat="1" applyFont="1" applyBorder="1" applyAlignment="1">
      <alignment horizontal="center"/>
    </xf>
    <xf numFmtId="165" fontId="31" fillId="0" borderId="25" xfId="0" applyNumberFormat="1" applyFont="1" applyBorder="1" applyAlignment="1">
      <alignment horizontal="center"/>
    </xf>
    <xf numFmtId="165" fontId="31" fillId="0" borderId="10" xfId="0" applyNumberFormat="1" applyFont="1" applyBorder="1" applyAlignment="1">
      <alignment horizontal="center"/>
    </xf>
    <xf numFmtId="164" fontId="31" fillId="4" borderId="27" xfId="0" applyNumberFormat="1" applyFont="1" applyFill="1" applyBorder="1" applyAlignment="1">
      <alignment horizontal="center"/>
    </xf>
    <xf numFmtId="0" fontId="0" fillId="0" borderId="26" xfId="0" applyBorder="1" applyAlignment="1"/>
    <xf numFmtId="0" fontId="0" fillId="0" borderId="28" xfId="0" applyBorder="1" applyAlignment="1"/>
    <xf numFmtId="165" fontId="31" fillId="0" borderId="1" xfId="0" applyNumberFormat="1" applyFont="1" applyFill="1" applyBorder="1" applyAlignment="1">
      <alignment horizontal="center"/>
    </xf>
    <xf numFmtId="49" fontId="27" fillId="0" borderId="30" xfId="0" applyNumberFormat="1" applyFont="1" applyBorder="1" applyAlignment="1">
      <alignment horizontal="center"/>
    </xf>
    <xf numFmtId="164" fontId="19" fillId="0" borderId="29" xfId="0" applyNumberFormat="1" applyFont="1" applyBorder="1" applyAlignment="1">
      <alignment horizontal="center"/>
    </xf>
    <xf numFmtId="0" fontId="8" fillId="0" borderId="16" xfId="0" applyFont="1" applyBorder="1" applyAlignment="1">
      <alignment horizontal="left"/>
    </xf>
    <xf numFmtId="0" fontId="8" fillId="0" borderId="16" xfId="0" applyFont="1" applyBorder="1" applyAlignment="1"/>
    <xf numFmtId="0" fontId="39" fillId="0" borderId="16" xfId="0" applyFont="1" applyBorder="1" applyAlignment="1"/>
    <xf numFmtId="1" fontId="8" fillId="0" borderId="16" xfId="0" applyNumberFormat="1" applyFont="1" applyBorder="1" applyAlignment="1">
      <alignment horizontal="right"/>
    </xf>
    <xf numFmtId="0" fontId="39" fillId="0" borderId="16" xfId="0" applyFont="1" applyBorder="1" applyAlignment="1">
      <alignment horizontal="right"/>
    </xf>
    <xf numFmtId="1" fontId="8" fillId="0" borderId="16" xfId="0" applyNumberFormat="1" applyFont="1" applyBorder="1" applyAlignment="1">
      <alignment horizontal="right" vertical="center"/>
    </xf>
    <xf numFmtId="0" fontId="39" fillId="0" borderId="16" xfId="0" applyFont="1" applyBorder="1" applyAlignment="1">
      <alignment horizontal="right" vertical="center"/>
    </xf>
    <xf numFmtId="0" fontId="0" fillId="0" borderId="0" xfId="0" applyFont="1" applyAlignment="1"/>
    <xf numFmtId="0" fontId="4" fillId="0" borderId="17" xfId="0" applyFont="1" applyBorder="1" applyAlignment="1"/>
    <xf numFmtId="164" fontId="4" fillId="0" borderId="17" xfId="0" applyNumberFormat="1" applyFont="1" applyBorder="1" applyAlignment="1">
      <alignment horizontal="center"/>
    </xf>
    <xf numFmtId="164" fontId="40" fillId="0" borderId="17" xfId="0" applyNumberFormat="1" applyFont="1" applyBorder="1" applyAlignment="1">
      <alignment horizontal="center"/>
    </xf>
    <xf numFmtId="0" fontId="40" fillId="0" borderId="17" xfId="0" applyFont="1" applyBorder="1" applyAlignment="1"/>
    <xf numFmtId="0" fontId="4" fillId="0" borderId="0" xfId="0" applyFont="1" applyBorder="1" applyAlignment="1"/>
    <xf numFmtId="0" fontId="4" fillId="0" borderId="0" xfId="0" applyFont="1" applyBorder="1" applyAlignment="1">
      <alignment vertical="center"/>
    </xf>
    <xf numFmtId="0" fontId="4" fillId="0" borderId="0" xfId="0" applyFont="1" applyBorder="1" applyAlignment="1">
      <alignment horizontal="left" vertical="center"/>
    </xf>
    <xf numFmtId="164" fontId="4" fillId="0" borderId="0" xfId="0" applyNumberFormat="1" applyFont="1" applyBorder="1" applyAlignment="1">
      <alignment horizontal="right" vertical="center"/>
    </xf>
    <xf numFmtId="0" fontId="33" fillId="0" borderId="0" xfId="0" applyFont="1" applyBorder="1" applyAlignment="1">
      <alignment vertical="center"/>
    </xf>
    <xf numFmtId="0" fontId="33" fillId="0" borderId="0" xfId="0" applyFont="1" applyBorder="1" applyAlignment="1">
      <alignment horizontal="left" vertical="center"/>
    </xf>
    <xf numFmtId="0" fontId="33" fillId="6" borderId="0" xfId="0" applyFont="1" applyFill="1" applyBorder="1" applyAlignment="1">
      <alignment horizontal="left" vertical="center" indent="1"/>
    </xf>
    <xf numFmtId="0" fontId="33" fillId="6" borderId="0" xfId="0" applyFont="1" applyFill="1" applyBorder="1" applyAlignment="1">
      <alignment vertical="center"/>
    </xf>
    <xf numFmtId="164" fontId="33" fillId="6" borderId="0" xfId="0" applyNumberFormat="1" applyFont="1" applyFill="1" applyBorder="1" applyAlignment="1">
      <alignment horizontal="right" vertical="center"/>
    </xf>
    <xf numFmtId="0" fontId="4" fillId="0" borderId="1" xfId="0" applyFont="1" applyBorder="1" applyAlignment="1">
      <alignment vertical="center"/>
    </xf>
    <xf numFmtId="0" fontId="27" fillId="0" borderId="0" xfId="0" applyFont="1" applyBorder="1" applyAlignment="1">
      <alignment horizontal="left"/>
    </xf>
    <xf numFmtId="0" fontId="4" fillId="0" borderId="1" xfId="0" applyFont="1" applyBorder="1" applyAlignment="1">
      <alignment horizontal="left" vertical="center"/>
    </xf>
    <xf numFmtId="164" fontId="4" fillId="0" borderId="1" xfId="0" applyNumberFormat="1" applyFont="1" applyBorder="1" applyAlignment="1">
      <alignment horizontal="right" vertical="center"/>
    </xf>
    <xf numFmtId="0" fontId="27" fillId="0" borderId="8" xfId="0" applyFont="1" applyBorder="1" applyAlignment="1">
      <alignment horizontal="left"/>
    </xf>
    <xf numFmtId="0" fontId="4" fillId="0" borderId="8" xfId="0" applyFont="1" applyBorder="1" applyAlignment="1"/>
    <xf numFmtId="164" fontId="4" fillId="0" borderId="8" xfId="0" applyNumberFormat="1" applyFont="1" applyBorder="1" applyAlignment="1">
      <alignment horizontal="center"/>
    </xf>
    <xf numFmtId="0" fontId="0" fillId="0" borderId="8" xfId="0" applyFont="1" applyBorder="1" applyAlignment="1"/>
    <xf numFmtId="0" fontId="4" fillId="0" borderId="8" xfId="0" applyFont="1" applyBorder="1" applyAlignment="1">
      <alignment vertical="center"/>
    </xf>
    <xf numFmtId="0" fontId="4" fillId="0" borderId="8" xfId="0" applyFont="1" applyBorder="1" applyAlignment="1">
      <alignment horizontal="left" vertical="center"/>
    </xf>
    <xf numFmtId="164" fontId="4" fillId="0" borderId="8" xfId="0" applyNumberFormat="1" applyFont="1" applyBorder="1" applyAlignment="1">
      <alignment horizontal="right" vertical="center"/>
    </xf>
    <xf numFmtId="0" fontId="4" fillId="0" borderId="1" xfId="0" applyFont="1" applyBorder="1" applyAlignment="1">
      <alignment vertical="top"/>
    </xf>
    <xf numFmtId="0" fontId="4" fillId="0" borderId="0" xfId="0" applyFont="1" applyBorder="1" applyAlignment="1">
      <alignment horizontal="left" vertical="top"/>
    </xf>
    <xf numFmtId="0" fontId="4" fillId="0" borderId="0" xfId="0" applyFont="1" applyBorder="1" applyAlignment="1">
      <alignment vertical="top"/>
    </xf>
    <xf numFmtId="164" fontId="4" fillId="0" borderId="0" xfId="0" applyNumberFormat="1" applyFont="1" applyBorder="1" applyAlignment="1">
      <alignment horizontal="right" vertical="top"/>
    </xf>
    <xf numFmtId="0" fontId="0" fillId="0" borderId="0" xfId="0" applyAlignment="1">
      <alignment vertical="top"/>
    </xf>
    <xf numFmtId="0" fontId="0" fillId="0" borderId="0" xfId="0" applyFont="1" applyAlignment="1">
      <alignment vertical="top"/>
    </xf>
    <xf numFmtId="0" fontId="0" fillId="0" borderId="16" xfId="0" applyBorder="1" applyAlignment="1">
      <alignment vertical="top"/>
    </xf>
    <xf numFmtId="0" fontId="0" fillId="6" borderId="0" xfId="0" applyFill="1" applyAlignment="1"/>
    <xf numFmtId="164" fontId="33" fillId="0" borderId="0" xfId="0" applyNumberFormat="1" applyFont="1" applyFill="1" applyBorder="1" applyAlignment="1">
      <alignment horizontal="right" vertical="center"/>
    </xf>
    <xf numFmtId="0" fontId="4" fillId="0" borderId="0" xfId="0" applyFont="1" applyAlignment="1">
      <alignment vertical="top"/>
    </xf>
    <xf numFmtId="164" fontId="4" fillId="0" borderId="0" xfId="0" applyNumberFormat="1" applyFont="1" applyAlignment="1">
      <alignment horizontal="right" vertical="top"/>
    </xf>
    <xf numFmtId="0" fontId="4" fillId="0" borderId="0" xfId="0" applyFont="1" applyAlignment="1">
      <alignment horizontal="left" vertical="top"/>
    </xf>
    <xf numFmtId="164" fontId="0" fillId="0" borderId="0" xfId="0" applyNumberFormat="1" applyAlignment="1">
      <alignment vertical="top"/>
    </xf>
    <xf numFmtId="0" fontId="5" fillId="0" borderId="0" xfId="0" applyFont="1" applyAlignment="1">
      <alignment horizontal="left"/>
    </xf>
    <xf numFmtId="0" fontId="7" fillId="0" borderId="0" xfId="0" applyFont="1" applyAlignment="1">
      <alignment horizontal="left"/>
    </xf>
    <xf numFmtId="165" fontId="21" fillId="0" borderId="10" xfId="0" applyNumberFormat="1" applyFont="1" applyFill="1" applyBorder="1" applyAlignment="1">
      <alignment horizontal="center"/>
    </xf>
    <xf numFmtId="165" fontId="21" fillId="0" borderId="8" xfId="0" applyNumberFormat="1" applyFont="1" applyFill="1" applyBorder="1" applyAlignment="1">
      <alignment horizontal="center"/>
    </xf>
    <xf numFmtId="165" fontId="31" fillId="0" borderId="5" xfId="0" applyNumberFormat="1" applyFont="1" applyFill="1" applyBorder="1" applyAlignment="1">
      <alignment horizontal="center"/>
    </xf>
    <xf numFmtId="0" fontId="19" fillId="0" borderId="0" xfId="0" applyFont="1" applyAlignment="1">
      <alignment vertical="top"/>
    </xf>
    <xf numFmtId="0" fontId="48" fillId="0" borderId="0" xfId="0" applyFont="1" applyAlignment="1"/>
    <xf numFmtId="0" fontId="48" fillId="0" borderId="0" xfId="0" applyFont="1" applyAlignment="1">
      <alignment vertical="top"/>
    </xf>
    <xf numFmtId="166" fontId="48" fillId="0" borderId="0" xfId="0" applyNumberFormat="1" applyFont="1" applyBorder="1" applyAlignment="1">
      <alignment horizontal="center"/>
    </xf>
    <xf numFmtId="0" fontId="48" fillId="0" borderId="0" xfId="0" applyFont="1" applyAlignment="1">
      <alignment vertical="center"/>
    </xf>
    <xf numFmtId="164" fontId="0" fillId="0" borderId="0" xfId="0" applyNumberFormat="1" applyAlignment="1"/>
    <xf numFmtId="164" fontId="0" fillId="0" borderId="0" xfId="0" applyNumberFormat="1" applyBorder="1" applyAlignment="1"/>
    <xf numFmtId="164" fontId="53" fillId="0" borderId="0" xfId="0" applyNumberFormat="1" applyFont="1" applyBorder="1" applyAlignment="1">
      <alignment horizontal="center"/>
    </xf>
    <xf numFmtId="0" fontId="54" fillId="0" borderId="0" xfId="0" applyFont="1" applyBorder="1" applyAlignment="1">
      <alignment horizontal="left"/>
    </xf>
    <xf numFmtId="164" fontId="55" fillId="0" borderId="0" xfId="0" applyNumberFormat="1" applyFont="1" applyAlignment="1">
      <alignment horizontal="left"/>
    </xf>
    <xf numFmtId="164" fontId="55" fillId="0" borderId="0" xfId="0" applyNumberFormat="1" applyFont="1" applyBorder="1" applyAlignment="1">
      <alignment horizontal="left"/>
    </xf>
    <xf numFmtId="0" fontId="55" fillId="0" borderId="0" xfId="0" applyFont="1" applyBorder="1" applyAlignment="1">
      <alignment horizontal="left"/>
    </xf>
    <xf numFmtId="0" fontId="55" fillId="0" borderId="0" xfId="0" applyFont="1" applyAlignment="1">
      <alignment horizontal="left"/>
    </xf>
    <xf numFmtId="0" fontId="0" fillId="0" borderId="0" xfId="0" applyBorder="1" applyAlignment="1">
      <alignment vertical="top"/>
    </xf>
    <xf numFmtId="1" fontId="8" fillId="0" borderId="30" xfId="0" applyNumberFormat="1" applyFont="1" applyBorder="1" applyAlignment="1">
      <alignment horizontal="right" vertical="center"/>
    </xf>
    <xf numFmtId="164" fontId="4" fillId="0" borderId="29" xfId="0" applyNumberFormat="1" applyFont="1" applyBorder="1" applyAlignment="1">
      <alignment horizontal="right" vertical="top"/>
    </xf>
    <xf numFmtId="0" fontId="4" fillId="0" borderId="29" xfId="0" applyFont="1" applyBorder="1" applyAlignment="1">
      <alignment horizontal="left" vertical="top"/>
    </xf>
    <xf numFmtId="0" fontId="0" fillId="0" borderId="29" xfId="0" applyBorder="1" applyAlignment="1">
      <alignment vertical="top"/>
    </xf>
    <xf numFmtId="0" fontId="55" fillId="0" borderId="0" xfId="0" applyFont="1" applyAlignment="1"/>
    <xf numFmtId="164" fontId="8" fillId="0" borderId="0" xfId="0" applyNumberFormat="1" applyFont="1" applyBorder="1" applyAlignment="1">
      <alignment horizontal="left" vertical="center"/>
    </xf>
    <xf numFmtId="1" fontId="8" fillId="0" borderId="30" xfId="0" applyNumberFormat="1" applyFont="1" applyBorder="1" applyAlignment="1">
      <alignment horizontal="right"/>
    </xf>
    <xf numFmtId="1" fontId="8" fillId="0" borderId="32" xfId="0" applyNumberFormat="1" applyFont="1" applyBorder="1" applyAlignment="1">
      <alignment horizontal="right"/>
    </xf>
    <xf numFmtId="164" fontId="4" fillId="0" borderId="3" xfId="0" applyNumberFormat="1" applyFont="1" applyBorder="1" applyAlignment="1">
      <alignment horizontal="right" vertical="top"/>
    </xf>
    <xf numFmtId="0" fontId="20" fillId="0" borderId="0" xfId="0" applyFont="1" applyBorder="1" applyAlignment="1">
      <alignment horizontal="center"/>
    </xf>
    <xf numFmtId="0" fontId="27" fillId="0" borderId="0" xfId="0" applyFont="1" applyBorder="1" applyAlignment="1">
      <alignment horizontal="center"/>
    </xf>
    <xf numFmtId="0" fontId="27" fillId="0" borderId="3" xfId="0" applyFont="1" applyBorder="1" applyAlignment="1">
      <alignment horizontal="center"/>
    </xf>
    <xf numFmtId="0" fontId="27" fillId="0" borderId="0" xfId="0" applyFont="1" applyBorder="1" applyAlignment="1"/>
    <xf numFmtId="0" fontId="27" fillId="0" borderId="29" xfId="0" applyFont="1" applyBorder="1" applyAlignment="1"/>
    <xf numFmtId="0" fontId="27" fillId="0" borderId="3" xfId="0" applyFont="1" applyBorder="1" applyAlignment="1"/>
    <xf numFmtId="0" fontId="27" fillId="0" borderId="29" xfId="0" applyFont="1" applyBorder="1" applyAlignment="1">
      <alignment horizontal="left"/>
    </xf>
    <xf numFmtId="0" fontId="28" fillId="0" borderId="0" xfId="0" applyFont="1" applyAlignment="1">
      <alignment horizontal="left"/>
    </xf>
    <xf numFmtId="0" fontId="7" fillId="0" borderId="0" xfId="0" applyFont="1" applyAlignment="1">
      <alignment horizontal="left"/>
    </xf>
    <xf numFmtId="0" fontId="47" fillId="0" borderId="0" xfId="0" applyFont="1" applyAlignment="1">
      <alignment horizontal="left" vertical="center"/>
    </xf>
    <xf numFmtId="0" fontId="48" fillId="0" borderId="0" xfId="0" applyFont="1" applyAlignment="1">
      <alignment horizontal="left" vertical="top"/>
    </xf>
    <xf numFmtId="0" fontId="47" fillId="0" borderId="0" xfId="0" applyFont="1" applyAlignment="1">
      <alignment horizontal="left"/>
    </xf>
    <xf numFmtId="0" fontId="6" fillId="0" borderId="0" xfId="0" applyFont="1" applyBorder="1" applyAlignment="1">
      <alignment horizontal="left"/>
    </xf>
    <xf numFmtId="0" fontId="46" fillId="0" borderId="0" xfId="0" applyFont="1" applyAlignment="1">
      <alignment horizontal="left"/>
    </xf>
    <xf numFmtId="0" fontId="27" fillId="0" borderId="17" xfId="0" applyFont="1" applyBorder="1" applyAlignment="1">
      <alignment horizontal="left"/>
    </xf>
    <xf numFmtId="164" fontId="15" fillId="0" borderId="16" xfId="0" applyNumberFormat="1" applyFont="1" applyBorder="1" applyAlignment="1">
      <alignment horizontal="center"/>
    </xf>
    <xf numFmtId="164" fontId="15" fillId="0" borderId="23" xfId="0" applyNumberFormat="1" applyFont="1" applyBorder="1" applyAlignment="1">
      <alignment horizontal="center"/>
    </xf>
    <xf numFmtId="164" fontId="15" fillId="0" borderId="24" xfId="0" applyNumberFormat="1" applyFont="1" applyBorder="1" applyAlignment="1">
      <alignment horizontal="center"/>
    </xf>
    <xf numFmtId="0" fontId="15" fillId="0" borderId="24" xfId="0" applyFont="1" applyBorder="1" applyAlignment="1">
      <alignment horizontal="center"/>
    </xf>
    <xf numFmtId="0" fontId="15" fillId="0" borderId="16" xfId="0" applyFont="1" applyBorder="1" applyAlignment="1">
      <alignment horizontal="center"/>
    </xf>
    <xf numFmtId="164" fontId="51" fillId="0" borderId="16" xfId="0" applyNumberFormat="1" applyFont="1" applyBorder="1" applyAlignment="1">
      <alignment horizontal="center"/>
    </xf>
    <xf numFmtId="164" fontId="51" fillId="0" borderId="23" xfId="0" applyNumberFormat="1" applyFont="1" applyBorder="1" applyAlignment="1">
      <alignment horizontal="center"/>
    </xf>
    <xf numFmtId="164" fontId="52" fillId="0" borderId="24" xfId="0" applyNumberFormat="1" applyFont="1" applyBorder="1" applyAlignment="1">
      <alignment horizontal="center"/>
    </xf>
    <xf numFmtId="164" fontId="52" fillId="0" borderId="16" xfId="0" applyNumberFormat="1" applyFont="1" applyBorder="1" applyAlignment="1">
      <alignment horizontal="center"/>
    </xf>
    <xf numFmtId="164" fontId="52" fillId="0" borderId="23" xfId="0" applyNumberFormat="1" applyFont="1" applyBorder="1" applyAlignment="1">
      <alignment horizontal="center"/>
    </xf>
    <xf numFmtId="164" fontId="51" fillId="0" borderId="24" xfId="0" applyNumberFormat="1" applyFont="1" applyBorder="1" applyAlignment="1">
      <alignment horizontal="center"/>
    </xf>
    <xf numFmtId="0" fontId="51" fillId="0" borderId="24" xfId="0" applyFont="1" applyBorder="1" applyAlignment="1">
      <alignment horizontal="center"/>
    </xf>
    <xf numFmtId="0" fontId="51" fillId="0" borderId="16" xfId="0" applyFont="1" applyBorder="1" applyAlignment="1">
      <alignment horizontal="center"/>
    </xf>
    <xf numFmtId="0" fontId="20" fillId="0" borderId="0" xfId="0" applyFont="1" applyBorder="1" applyAlignment="1">
      <alignment horizontal="center"/>
    </xf>
    <xf numFmtId="0" fontId="27" fillId="0" borderId="31" xfId="0" applyFont="1" applyBorder="1" applyAlignment="1">
      <alignment horizontal="left"/>
    </xf>
    <xf numFmtId="49" fontId="27" fillId="0" borderId="16" xfId="0" applyNumberFormat="1" applyFont="1" applyBorder="1" applyAlignment="1">
      <alignment horizontal="center" vertical="center"/>
    </xf>
  </cellXfs>
  <cellStyles count="2">
    <cellStyle name="Normal" xfId="0" builtinId="0"/>
    <cellStyle name="Warning Text" xfId="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F2BF49"/>
      <color rgb="FF3A75C4"/>
      <color rgb="FFCE1126"/>
      <color rgb="FF8499A5"/>
      <color rgb="FFC4B796"/>
      <color rgb="FF076D54"/>
      <color rgb="FF000000"/>
      <color rgb="FFFFFFCC"/>
      <color rgb="FF5447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Average Undergraduate Section Size</a:t>
            </a:r>
          </a:p>
        </c:rich>
      </c:tx>
      <c:layout>
        <c:manualLayout>
          <c:xMode val="edge"/>
          <c:yMode val="edge"/>
          <c:x val="0.25871803863089526"/>
          <c:y val="9.5478264707719203E-3"/>
        </c:manualLayout>
      </c:layout>
      <c:overlay val="0"/>
    </c:title>
    <c:autoTitleDeleted val="0"/>
    <c:plotArea>
      <c:layout>
        <c:manualLayout>
          <c:layoutTarget val="inner"/>
          <c:xMode val="edge"/>
          <c:yMode val="edge"/>
          <c:x val="7.3498355299611864E-2"/>
          <c:y val="0.16108102685403949"/>
          <c:w val="0.91676486195077245"/>
          <c:h val="0.65293863647557615"/>
        </c:manualLayout>
      </c:layout>
      <c:barChart>
        <c:barDir val="col"/>
        <c:grouping val="clustered"/>
        <c:varyColors val="0"/>
        <c:ser>
          <c:idx val="0"/>
          <c:order val="0"/>
          <c:tx>
            <c:strRef>
              <c:f>'Data for UG graph'!$A$4</c:f>
              <c:strCache>
                <c:ptCount val="1"/>
                <c:pt idx="0">
                  <c:v>Undergraduate Average Section Size</c:v>
                </c:pt>
              </c:strCache>
            </c:strRef>
          </c:tx>
          <c:invertIfNegative val="0"/>
          <c:dPt>
            <c:idx val="0"/>
            <c:invertIfNegative val="0"/>
            <c:bubble3D val="0"/>
            <c:spPr>
              <a:solidFill>
                <a:srgbClr val="076D54"/>
              </a:solidFill>
            </c:spPr>
            <c:extLst>
              <c:ext xmlns:c16="http://schemas.microsoft.com/office/drawing/2014/chart" uri="{C3380CC4-5D6E-409C-BE32-E72D297353CC}">
                <c16:uniqueId val="{00000001-9447-4120-87B1-CDB81511249C}"/>
              </c:ext>
            </c:extLst>
          </c:dPt>
          <c:dPt>
            <c:idx val="1"/>
            <c:invertIfNegative val="0"/>
            <c:bubble3D val="0"/>
            <c:spPr>
              <a:solidFill>
                <a:srgbClr val="076D54"/>
              </a:solidFill>
            </c:spPr>
            <c:extLst>
              <c:ext xmlns:c16="http://schemas.microsoft.com/office/drawing/2014/chart" uri="{C3380CC4-5D6E-409C-BE32-E72D297353CC}">
                <c16:uniqueId val="{00000003-9447-4120-87B1-CDB81511249C}"/>
              </c:ext>
            </c:extLst>
          </c:dPt>
          <c:dPt>
            <c:idx val="2"/>
            <c:invertIfNegative val="0"/>
            <c:bubble3D val="0"/>
            <c:spPr>
              <a:solidFill>
                <a:srgbClr val="076D54"/>
              </a:solidFill>
            </c:spPr>
            <c:extLst>
              <c:ext xmlns:c16="http://schemas.microsoft.com/office/drawing/2014/chart" uri="{C3380CC4-5D6E-409C-BE32-E72D297353CC}">
                <c16:uniqueId val="{00000005-9447-4120-87B1-CDB81511249C}"/>
              </c:ext>
            </c:extLst>
          </c:dPt>
          <c:dPt>
            <c:idx val="3"/>
            <c:invertIfNegative val="0"/>
            <c:bubble3D val="0"/>
            <c:spPr>
              <a:solidFill>
                <a:srgbClr val="076D54"/>
              </a:solidFill>
            </c:spPr>
            <c:extLst>
              <c:ext xmlns:c16="http://schemas.microsoft.com/office/drawing/2014/chart" uri="{C3380CC4-5D6E-409C-BE32-E72D297353CC}">
                <c16:uniqueId val="{00000007-9447-4120-87B1-CDB81511249C}"/>
              </c:ext>
            </c:extLst>
          </c:dPt>
          <c:dPt>
            <c:idx val="4"/>
            <c:invertIfNegative val="0"/>
            <c:bubble3D val="0"/>
            <c:spPr>
              <a:solidFill>
                <a:srgbClr val="076D54"/>
              </a:solidFill>
            </c:spPr>
            <c:extLst>
              <c:ext xmlns:c16="http://schemas.microsoft.com/office/drawing/2014/chart" uri="{C3380CC4-5D6E-409C-BE32-E72D297353CC}">
                <c16:uniqueId val="{00000009-9447-4120-87B1-CDB81511249C}"/>
              </c:ext>
            </c:extLst>
          </c:dPt>
          <c:dPt>
            <c:idx val="5"/>
            <c:invertIfNegative val="0"/>
            <c:bubble3D val="0"/>
            <c:spPr>
              <a:solidFill>
                <a:srgbClr val="C4B796"/>
              </a:solidFill>
              <a:ln>
                <a:noFill/>
              </a:ln>
            </c:spPr>
            <c:extLst>
              <c:ext xmlns:c16="http://schemas.microsoft.com/office/drawing/2014/chart" uri="{C3380CC4-5D6E-409C-BE32-E72D297353CC}">
                <c16:uniqueId val="{0000000B-9447-4120-87B1-CDB81511249C}"/>
              </c:ext>
            </c:extLst>
          </c:dPt>
          <c:dPt>
            <c:idx val="6"/>
            <c:invertIfNegative val="0"/>
            <c:bubble3D val="0"/>
            <c:spPr>
              <a:solidFill>
                <a:srgbClr val="C4B796"/>
              </a:solidFill>
            </c:spPr>
            <c:extLst>
              <c:ext xmlns:c16="http://schemas.microsoft.com/office/drawing/2014/chart" uri="{C3380CC4-5D6E-409C-BE32-E72D297353CC}">
                <c16:uniqueId val="{0000000D-9447-4120-87B1-CDB81511249C}"/>
              </c:ext>
            </c:extLst>
          </c:dPt>
          <c:dPt>
            <c:idx val="7"/>
            <c:invertIfNegative val="0"/>
            <c:bubble3D val="0"/>
            <c:spPr>
              <a:solidFill>
                <a:srgbClr val="C4B796"/>
              </a:solidFill>
            </c:spPr>
            <c:extLst>
              <c:ext xmlns:c16="http://schemas.microsoft.com/office/drawing/2014/chart" uri="{C3380CC4-5D6E-409C-BE32-E72D297353CC}">
                <c16:uniqueId val="{0000000F-9447-4120-87B1-CDB81511249C}"/>
              </c:ext>
            </c:extLst>
          </c:dPt>
          <c:dPt>
            <c:idx val="8"/>
            <c:invertIfNegative val="0"/>
            <c:bubble3D val="0"/>
            <c:spPr>
              <a:solidFill>
                <a:srgbClr val="C4B796"/>
              </a:solidFill>
            </c:spPr>
            <c:extLst>
              <c:ext xmlns:c16="http://schemas.microsoft.com/office/drawing/2014/chart" uri="{C3380CC4-5D6E-409C-BE32-E72D297353CC}">
                <c16:uniqueId val="{00000011-9447-4120-87B1-CDB81511249C}"/>
              </c:ext>
            </c:extLst>
          </c:dPt>
          <c:dPt>
            <c:idx val="9"/>
            <c:invertIfNegative val="0"/>
            <c:bubble3D val="0"/>
            <c:spPr>
              <a:solidFill>
                <a:srgbClr val="C4B796"/>
              </a:solidFill>
            </c:spPr>
            <c:extLst>
              <c:ext xmlns:c16="http://schemas.microsoft.com/office/drawing/2014/chart" uri="{C3380CC4-5D6E-409C-BE32-E72D297353CC}">
                <c16:uniqueId val="{00000013-9447-4120-87B1-CDB81511249C}"/>
              </c:ext>
            </c:extLst>
          </c:dPt>
          <c:dPt>
            <c:idx val="10"/>
            <c:invertIfNegative val="0"/>
            <c:bubble3D val="0"/>
            <c:spPr>
              <a:solidFill>
                <a:srgbClr val="8499A5"/>
              </a:solidFill>
            </c:spPr>
            <c:extLst>
              <c:ext xmlns:c16="http://schemas.microsoft.com/office/drawing/2014/chart" uri="{C3380CC4-5D6E-409C-BE32-E72D297353CC}">
                <c16:uniqueId val="{00000015-9447-4120-87B1-CDB81511249C}"/>
              </c:ext>
            </c:extLst>
          </c:dPt>
          <c:dPt>
            <c:idx val="11"/>
            <c:invertIfNegative val="0"/>
            <c:bubble3D val="0"/>
            <c:spPr>
              <a:solidFill>
                <a:srgbClr val="8499A5"/>
              </a:solidFill>
              <a:ln w="0">
                <a:noFill/>
              </a:ln>
            </c:spPr>
            <c:extLst>
              <c:ext xmlns:c16="http://schemas.microsoft.com/office/drawing/2014/chart" uri="{C3380CC4-5D6E-409C-BE32-E72D297353CC}">
                <c16:uniqueId val="{00000017-9447-4120-87B1-CDB81511249C}"/>
              </c:ext>
            </c:extLst>
          </c:dPt>
          <c:dPt>
            <c:idx val="12"/>
            <c:invertIfNegative val="0"/>
            <c:bubble3D val="0"/>
            <c:spPr>
              <a:solidFill>
                <a:srgbClr val="8499A5"/>
              </a:solidFill>
            </c:spPr>
            <c:extLst>
              <c:ext xmlns:c16="http://schemas.microsoft.com/office/drawing/2014/chart" uri="{C3380CC4-5D6E-409C-BE32-E72D297353CC}">
                <c16:uniqueId val="{00000019-9447-4120-87B1-CDB81511249C}"/>
              </c:ext>
            </c:extLst>
          </c:dPt>
          <c:dPt>
            <c:idx val="13"/>
            <c:invertIfNegative val="0"/>
            <c:bubble3D val="0"/>
            <c:spPr>
              <a:solidFill>
                <a:srgbClr val="8499A5"/>
              </a:solidFill>
            </c:spPr>
            <c:extLst>
              <c:ext xmlns:c16="http://schemas.microsoft.com/office/drawing/2014/chart" uri="{C3380CC4-5D6E-409C-BE32-E72D297353CC}">
                <c16:uniqueId val="{0000001B-9447-4120-87B1-CDB81511249C}"/>
              </c:ext>
            </c:extLst>
          </c:dPt>
          <c:dPt>
            <c:idx val="14"/>
            <c:invertIfNegative val="0"/>
            <c:bubble3D val="0"/>
            <c:spPr>
              <a:solidFill>
                <a:srgbClr val="8499A5"/>
              </a:solidFill>
            </c:spPr>
            <c:extLst>
              <c:ext xmlns:c16="http://schemas.microsoft.com/office/drawing/2014/chart" uri="{C3380CC4-5D6E-409C-BE32-E72D297353CC}">
                <c16:uniqueId val="{0000001D-9447-4120-87B1-CDB81511249C}"/>
              </c:ext>
            </c:extLst>
          </c:dPt>
          <c:dPt>
            <c:idx val="15"/>
            <c:invertIfNegative val="0"/>
            <c:bubble3D val="0"/>
            <c:spPr>
              <a:solidFill>
                <a:srgbClr val="CE1126"/>
              </a:solidFill>
            </c:spPr>
            <c:extLst>
              <c:ext xmlns:c16="http://schemas.microsoft.com/office/drawing/2014/chart" uri="{C3380CC4-5D6E-409C-BE32-E72D297353CC}">
                <c16:uniqueId val="{0000001F-9447-4120-87B1-CDB81511249C}"/>
              </c:ext>
            </c:extLst>
          </c:dPt>
          <c:dPt>
            <c:idx val="16"/>
            <c:invertIfNegative val="0"/>
            <c:bubble3D val="0"/>
            <c:spPr>
              <a:solidFill>
                <a:srgbClr val="CE1126"/>
              </a:solidFill>
            </c:spPr>
            <c:extLst>
              <c:ext xmlns:c16="http://schemas.microsoft.com/office/drawing/2014/chart" uri="{C3380CC4-5D6E-409C-BE32-E72D297353CC}">
                <c16:uniqueId val="{00000021-9447-4120-87B1-CDB81511249C}"/>
              </c:ext>
            </c:extLst>
          </c:dPt>
          <c:dPt>
            <c:idx val="17"/>
            <c:invertIfNegative val="0"/>
            <c:bubble3D val="0"/>
            <c:spPr>
              <a:solidFill>
                <a:srgbClr val="CE1126"/>
              </a:solidFill>
            </c:spPr>
            <c:extLst>
              <c:ext xmlns:c16="http://schemas.microsoft.com/office/drawing/2014/chart" uri="{C3380CC4-5D6E-409C-BE32-E72D297353CC}">
                <c16:uniqueId val="{00000023-9447-4120-87B1-CDB81511249C}"/>
              </c:ext>
            </c:extLst>
          </c:dPt>
          <c:dPt>
            <c:idx val="18"/>
            <c:invertIfNegative val="0"/>
            <c:bubble3D val="0"/>
            <c:spPr>
              <a:solidFill>
                <a:srgbClr val="CE1126"/>
              </a:solidFill>
            </c:spPr>
            <c:extLst>
              <c:ext xmlns:c16="http://schemas.microsoft.com/office/drawing/2014/chart" uri="{C3380CC4-5D6E-409C-BE32-E72D297353CC}">
                <c16:uniqueId val="{00000025-9447-4120-87B1-CDB81511249C}"/>
              </c:ext>
            </c:extLst>
          </c:dPt>
          <c:dPt>
            <c:idx val="19"/>
            <c:invertIfNegative val="0"/>
            <c:bubble3D val="0"/>
            <c:spPr>
              <a:solidFill>
                <a:srgbClr val="CE1126"/>
              </a:solidFill>
            </c:spPr>
            <c:extLst>
              <c:ext xmlns:c16="http://schemas.microsoft.com/office/drawing/2014/chart" uri="{C3380CC4-5D6E-409C-BE32-E72D297353CC}">
                <c16:uniqueId val="{00000027-9447-4120-87B1-CDB81511249C}"/>
              </c:ext>
            </c:extLst>
          </c:dPt>
          <c:dPt>
            <c:idx val="20"/>
            <c:invertIfNegative val="0"/>
            <c:bubble3D val="0"/>
            <c:spPr>
              <a:solidFill>
                <a:srgbClr val="3A75C4"/>
              </a:solidFill>
            </c:spPr>
            <c:extLst>
              <c:ext xmlns:c16="http://schemas.microsoft.com/office/drawing/2014/chart" uri="{C3380CC4-5D6E-409C-BE32-E72D297353CC}">
                <c16:uniqueId val="{00000029-9447-4120-87B1-CDB81511249C}"/>
              </c:ext>
            </c:extLst>
          </c:dPt>
          <c:dPt>
            <c:idx val="21"/>
            <c:invertIfNegative val="0"/>
            <c:bubble3D val="0"/>
            <c:spPr>
              <a:solidFill>
                <a:srgbClr val="3A75C4"/>
              </a:solidFill>
            </c:spPr>
            <c:extLst>
              <c:ext xmlns:c16="http://schemas.microsoft.com/office/drawing/2014/chart" uri="{C3380CC4-5D6E-409C-BE32-E72D297353CC}">
                <c16:uniqueId val="{0000002B-9447-4120-87B1-CDB81511249C}"/>
              </c:ext>
            </c:extLst>
          </c:dPt>
          <c:dPt>
            <c:idx val="22"/>
            <c:invertIfNegative val="0"/>
            <c:bubble3D val="0"/>
            <c:spPr>
              <a:solidFill>
                <a:srgbClr val="3A75C4"/>
              </a:solidFill>
            </c:spPr>
            <c:extLst>
              <c:ext xmlns:c16="http://schemas.microsoft.com/office/drawing/2014/chart" uri="{C3380CC4-5D6E-409C-BE32-E72D297353CC}">
                <c16:uniqueId val="{0000002D-9447-4120-87B1-CDB81511249C}"/>
              </c:ext>
            </c:extLst>
          </c:dPt>
          <c:dPt>
            <c:idx val="23"/>
            <c:invertIfNegative val="0"/>
            <c:bubble3D val="0"/>
            <c:spPr>
              <a:solidFill>
                <a:srgbClr val="3A75C4"/>
              </a:solidFill>
            </c:spPr>
            <c:extLst>
              <c:ext xmlns:c16="http://schemas.microsoft.com/office/drawing/2014/chart" uri="{C3380CC4-5D6E-409C-BE32-E72D297353CC}">
                <c16:uniqueId val="{0000002F-9447-4120-87B1-CDB81511249C}"/>
              </c:ext>
            </c:extLst>
          </c:dPt>
          <c:dPt>
            <c:idx val="24"/>
            <c:invertIfNegative val="0"/>
            <c:bubble3D val="0"/>
            <c:spPr>
              <a:solidFill>
                <a:srgbClr val="3A75C4"/>
              </a:solidFill>
            </c:spPr>
            <c:extLst>
              <c:ext xmlns:c16="http://schemas.microsoft.com/office/drawing/2014/chart" uri="{C3380CC4-5D6E-409C-BE32-E72D297353CC}">
                <c16:uniqueId val="{00000031-9447-4120-87B1-CDB81511249C}"/>
              </c:ext>
            </c:extLst>
          </c:dPt>
          <c:dPt>
            <c:idx val="25"/>
            <c:invertIfNegative val="0"/>
            <c:bubble3D val="0"/>
            <c:spPr>
              <a:solidFill>
                <a:srgbClr val="F2BF49"/>
              </a:solidFill>
            </c:spPr>
            <c:extLst>
              <c:ext xmlns:c16="http://schemas.microsoft.com/office/drawing/2014/chart" uri="{C3380CC4-5D6E-409C-BE32-E72D297353CC}">
                <c16:uniqueId val="{00000033-9447-4120-87B1-CDB81511249C}"/>
              </c:ext>
            </c:extLst>
          </c:dPt>
          <c:dPt>
            <c:idx val="26"/>
            <c:invertIfNegative val="0"/>
            <c:bubble3D val="0"/>
            <c:spPr>
              <a:solidFill>
                <a:srgbClr val="F2BF49"/>
              </a:solidFill>
            </c:spPr>
            <c:extLst>
              <c:ext xmlns:c16="http://schemas.microsoft.com/office/drawing/2014/chart" uri="{C3380CC4-5D6E-409C-BE32-E72D297353CC}">
                <c16:uniqueId val="{00000035-9447-4120-87B1-CDB81511249C}"/>
              </c:ext>
            </c:extLst>
          </c:dPt>
          <c:dPt>
            <c:idx val="27"/>
            <c:invertIfNegative val="0"/>
            <c:bubble3D val="0"/>
            <c:spPr>
              <a:solidFill>
                <a:srgbClr val="F2BF49"/>
              </a:solidFill>
            </c:spPr>
            <c:extLst>
              <c:ext xmlns:c16="http://schemas.microsoft.com/office/drawing/2014/chart" uri="{C3380CC4-5D6E-409C-BE32-E72D297353CC}">
                <c16:uniqueId val="{00000037-9447-4120-87B1-CDB81511249C}"/>
              </c:ext>
            </c:extLst>
          </c:dPt>
          <c:dPt>
            <c:idx val="28"/>
            <c:invertIfNegative val="0"/>
            <c:bubble3D val="0"/>
            <c:spPr>
              <a:solidFill>
                <a:srgbClr val="F2BF49"/>
              </a:solidFill>
            </c:spPr>
            <c:extLst>
              <c:ext xmlns:c16="http://schemas.microsoft.com/office/drawing/2014/chart" uri="{C3380CC4-5D6E-409C-BE32-E72D297353CC}">
                <c16:uniqueId val="{00000039-9447-4120-87B1-CDB81511249C}"/>
              </c:ext>
            </c:extLst>
          </c:dPt>
          <c:dPt>
            <c:idx val="29"/>
            <c:invertIfNegative val="0"/>
            <c:bubble3D val="0"/>
            <c:spPr>
              <a:solidFill>
                <a:srgbClr val="F2BF49"/>
              </a:solidFill>
            </c:spPr>
            <c:extLst>
              <c:ext xmlns:c16="http://schemas.microsoft.com/office/drawing/2014/chart" uri="{C3380CC4-5D6E-409C-BE32-E72D297353CC}">
                <c16:uniqueId val="{0000003B-9447-4120-87B1-CDB81511249C}"/>
              </c:ext>
            </c:extLst>
          </c:dPt>
          <c:dPt>
            <c:idx val="30"/>
            <c:invertIfNegative val="0"/>
            <c:bubble3D val="0"/>
            <c:spPr>
              <a:solidFill>
                <a:srgbClr val="F2BF49"/>
              </a:solidFill>
            </c:spPr>
            <c:extLst>
              <c:ext xmlns:c16="http://schemas.microsoft.com/office/drawing/2014/chart" uri="{C3380CC4-5D6E-409C-BE32-E72D297353CC}">
                <c16:uniqueId val="{0000003D-9447-4120-87B1-CDB81511249C}"/>
              </c:ext>
            </c:extLst>
          </c:dPt>
          <c:dPt>
            <c:idx val="31"/>
            <c:invertIfNegative val="0"/>
            <c:bubble3D val="0"/>
            <c:spPr>
              <a:solidFill>
                <a:srgbClr val="F2BF49"/>
              </a:solidFill>
            </c:spPr>
            <c:extLst>
              <c:ext xmlns:c16="http://schemas.microsoft.com/office/drawing/2014/chart" uri="{C3380CC4-5D6E-409C-BE32-E72D297353CC}">
                <c16:uniqueId val="{0000003F-9447-4120-87B1-CDB81511249C}"/>
              </c:ext>
            </c:extLst>
          </c:dPt>
          <c:dPt>
            <c:idx val="32"/>
            <c:invertIfNegative val="0"/>
            <c:bubble3D val="0"/>
            <c:spPr>
              <a:solidFill>
                <a:srgbClr val="F2BF49"/>
              </a:solidFill>
            </c:spPr>
            <c:extLst>
              <c:ext xmlns:c16="http://schemas.microsoft.com/office/drawing/2014/chart" uri="{C3380CC4-5D6E-409C-BE32-E72D297353CC}">
                <c16:uniqueId val="{00000041-9447-4120-87B1-CDB81511249C}"/>
              </c:ext>
            </c:extLst>
          </c:dPt>
          <c:dPt>
            <c:idx val="33"/>
            <c:invertIfNegative val="0"/>
            <c:bubble3D val="0"/>
            <c:spPr>
              <a:solidFill>
                <a:srgbClr val="F2BF49"/>
              </a:solidFill>
            </c:spPr>
            <c:extLst>
              <c:ext xmlns:c16="http://schemas.microsoft.com/office/drawing/2014/chart" uri="{C3380CC4-5D6E-409C-BE32-E72D297353CC}">
                <c16:uniqueId val="{00000043-9447-4120-87B1-CDB81511249C}"/>
              </c:ext>
            </c:extLst>
          </c:dPt>
          <c:dPt>
            <c:idx val="34"/>
            <c:invertIfNegative val="0"/>
            <c:bubble3D val="0"/>
            <c:spPr>
              <a:solidFill>
                <a:srgbClr val="544726"/>
              </a:solidFill>
            </c:spPr>
            <c:extLst>
              <c:ext xmlns:c16="http://schemas.microsoft.com/office/drawing/2014/chart" uri="{C3380CC4-5D6E-409C-BE32-E72D297353CC}">
                <c16:uniqueId val="{00000045-9447-4120-87B1-CDB81511249C}"/>
              </c:ext>
            </c:extLst>
          </c:dPt>
          <c:dPt>
            <c:idx val="35"/>
            <c:invertIfNegative val="0"/>
            <c:bubble3D val="0"/>
            <c:spPr>
              <a:solidFill>
                <a:srgbClr val="544726"/>
              </a:solidFill>
            </c:spPr>
            <c:extLst>
              <c:ext xmlns:c16="http://schemas.microsoft.com/office/drawing/2014/chart" uri="{C3380CC4-5D6E-409C-BE32-E72D297353CC}">
                <c16:uniqueId val="{00000047-10C7-4CF7-A6CE-7F40BB3B9F1D}"/>
              </c:ext>
            </c:extLst>
          </c:dPt>
          <c:dPt>
            <c:idx val="36"/>
            <c:invertIfNegative val="0"/>
            <c:bubble3D val="0"/>
            <c:spPr>
              <a:solidFill>
                <a:srgbClr val="544726"/>
              </a:solidFill>
            </c:spPr>
            <c:extLst>
              <c:ext xmlns:c16="http://schemas.microsoft.com/office/drawing/2014/chart" uri="{C3380CC4-5D6E-409C-BE32-E72D297353CC}">
                <c16:uniqueId val="{00000048-10C7-4CF7-A6CE-7F40BB3B9F1D}"/>
              </c:ext>
            </c:extLst>
          </c:dPt>
          <c:dPt>
            <c:idx val="37"/>
            <c:invertIfNegative val="0"/>
            <c:bubble3D val="0"/>
            <c:spPr>
              <a:solidFill>
                <a:srgbClr val="544726"/>
              </a:solidFill>
            </c:spPr>
            <c:extLst>
              <c:ext xmlns:c16="http://schemas.microsoft.com/office/drawing/2014/chart" uri="{C3380CC4-5D6E-409C-BE32-E72D297353CC}">
                <c16:uniqueId val="{00000049-10C7-4CF7-A6CE-7F40BB3B9F1D}"/>
              </c:ext>
            </c:extLst>
          </c:dPt>
          <c:dPt>
            <c:idx val="48"/>
            <c:invertIfNegative val="0"/>
            <c:bubble3D val="0"/>
            <c:spPr>
              <a:solidFill>
                <a:srgbClr val="FFFFCC"/>
              </a:solidFill>
            </c:spPr>
            <c:extLst>
              <c:ext xmlns:c16="http://schemas.microsoft.com/office/drawing/2014/chart" uri="{C3380CC4-5D6E-409C-BE32-E72D297353CC}">
                <c16:uniqueId val="{0000004E-10C7-4CF7-A6CE-7F40BB3B9F1D}"/>
              </c:ext>
            </c:extLst>
          </c:dPt>
          <c:cat>
            <c:multiLvlStrRef>
              <c:f>'Data for UG graph'!$H$1:$CT$3</c:f>
              <c:multiLvlStrCache>
                <c:ptCount val="30"/>
                <c:lvl>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pt idx="28">
                    <c:v>2020</c:v>
                  </c:pt>
                  <c:pt idx="29">
                    <c:v>2021</c:v>
                  </c:pt>
                </c:lvl>
                <c:lvl>
                  <c:pt idx="0">
                    <c:v>Ag &amp; Life Sci</c:v>
                  </c:pt>
                  <c:pt idx="5">
                    <c:v>Business</c:v>
                  </c:pt>
                  <c:pt idx="10">
                    <c:v>Design</c:v>
                  </c:pt>
                  <c:pt idx="15">
                    <c:v>Engineering</c:v>
                  </c:pt>
                  <c:pt idx="20">
                    <c:v>Human Sci</c:v>
                  </c:pt>
                  <c:pt idx="25">
                    <c:v>LAS</c:v>
                  </c:pt>
                </c:lvl>
              </c:multiLvlStrCache>
            </c:multiLvlStrRef>
          </c:cat>
          <c:val>
            <c:numRef>
              <c:f>'Data for UG graph'!$C$4:$CT$4</c:f>
              <c:numCache>
                <c:formatCode>??.0</c:formatCode>
                <c:ptCount val="30"/>
                <c:pt idx="0">
                  <c:v>40.1</c:v>
                </c:pt>
                <c:pt idx="1">
                  <c:v>38.299999999999997</c:v>
                </c:pt>
                <c:pt idx="2">
                  <c:v>36.4</c:v>
                </c:pt>
                <c:pt idx="3">
                  <c:v>33.799999999999997</c:v>
                </c:pt>
                <c:pt idx="4">
                  <c:v>32.4</c:v>
                </c:pt>
                <c:pt idx="5">
                  <c:v>55.6</c:v>
                </c:pt>
                <c:pt idx="6">
                  <c:v>52.6</c:v>
                </c:pt>
                <c:pt idx="7">
                  <c:v>50.7</c:v>
                </c:pt>
                <c:pt idx="8">
                  <c:v>52</c:v>
                </c:pt>
                <c:pt idx="9">
                  <c:v>49.1</c:v>
                </c:pt>
                <c:pt idx="10">
                  <c:v>29.2</c:v>
                </c:pt>
                <c:pt idx="11">
                  <c:v>28.5</c:v>
                </c:pt>
                <c:pt idx="12">
                  <c:v>30.5</c:v>
                </c:pt>
                <c:pt idx="13">
                  <c:v>28</c:v>
                </c:pt>
                <c:pt idx="14">
                  <c:v>29.6</c:v>
                </c:pt>
                <c:pt idx="15">
                  <c:v>39.4</c:v>
                </c:pt>
                <c:pt idx="16">
                  <c:v>39.299999999999997</c:v>
                </c:pt>
                <c:pt idx="17">
                  <c:v>36.9</c:v>
                </c:pt>
                <c:pt idx="18">
                  <c:v>34.9</c:v>
                </c:pt>
                <c:pt idx="19">
                  <c:v>35.200000000000003</c:v>
                </c:pt>
                <c:pt idx="20">
                  <c:v>41.2</c:v>
                </c:pt>
                <c:pt idx="21">
                  <c:v>38.200000000000003</c:v>
                </c:pt>
                <c:pt idx="22">
                  <c:v>35.9</c:v>
                </c:pt>
                <c:pt idx="23">
                  <c:v>35</c:v>
                </c:pt>
                <c:pt idx="24">
                  <c:v>34.9</c:v>
                </c:pt>
                <c:pt idx="25">
                  <c:v>38.6</c:v>
                </c:pt>
                <c:pt idx="26">
                  <c:v>38.5</c:v>
                </c:pt>
                <c:pt idx="27">
                  <c:v>37.4</c:v>
                </c:pt>
                <c:pt idx="28">
                  <c:v>36.200000000000003</c:v>
                </c:pt>
                <c:pt idx="29">
                  <c:v>36.700000000000003</c:v>
                </c:pt>
              </c:numCache>
            </c:numRef>
          </c:val>
          <c:extLst>
            <c:ext xmlns:c16="http://schemas.microsoft.com/office/drawing/2014/chart" uri="{C3380CC4-5D6E-409C-BE32-E72D297353CC}">
              <c16:uniqueId val="{00000046-9447-4120-87B1-CDB81511249C}"/>
            </c:ext>
          </c:extLst>
        </c:ser>
        <c:dLbls>
          <c:showLegendKey val="0"/>
          <c:showVal val="0"/>
          <c:showCatName val="0"/>
          <c:showSerName val="0"/>
          <c:showPercent val="0"/>
          <c:showBubbleSize val="0"/>
        </c:dLbls>
        <c:gapWidth val="15"/>
        <c:overlap val="13"/>
        <c:axId val="251780272"/>
        <c:axId val="251780664"/>
      </c:barChart>
      <c:lineChart>
        <c:grouping val="standard"/>
        <c:varyColors val="0"/>
        <c:dLbls>
          <c:showLegendKey val="0"/>
          <c:showVal val="0"/>
          <c:showCatName val="0"/>
          <c:showSerName val="0"/>
          <c:showPercent val="0"/>
          <c:showBubbleSize val="0"/>
        </c:dLbls>
        <c:marker val="1"/>
        <c:smooth val="0"/>
        <c:axId val="251780272"/>
        <c:axId val="251780664"/>
        <c:extLst>
          <c:ext xmlns:c15="http://schemas.microsoft.com/office/drawing/2012/chart" uri="{02D57815-91ED-43cb-92C2-25804820EDAC}">
            <c15:filteredLineSeries>
              <c15:ser>
                <c:idx val="1"/>
                <c:order val="1"/>
                <c:tx>
                  <c:strRef>
                    <c:extLst>
                      <c:ext uri="{02D57815-91ED-43cb-92C2-25804820EDAC}">
                        <c15:formulaRef>
                          <c15:sqref>'Data for UG graph'!$A$5</c15:sqref>
                        </c15:formulaRef>
                      </c:ext>
                    </c:extLst>
                    <c:strCache>
                      <c:ptCount val="1"/>
                      <c:pt idx="0">
                        <c:v>Five year Ave</c:v>
                      </c:pt>
                    </c:strCache>
                  </c:strRef>
                </c:tx>
                <c:spPr>
                  <a:ln>
                    <a:solidFill>
                      <a:srgbClr val="7030A0"/>
                    </a:solidFill>
                  </a:ln>
                </c:spPr>
                <c:marker>
                  <c:symbol val="none"/>
                </c:marker>
                <c:cat>
                  <c:strRef>
                    <c:extLst>
                      <c:ext uri="{02D57815-91ED-43cb-92C2-25804820EDAC}">
                        <c15:formulaRef>
                          <c15:sqref>'Data for UG graph'!$H$3:$CT$3</c15:sqref>
                        </c15:formulaRef>
                      </c:ext>
                    </c:extLst>
                    <c:strCache>
                      <c:ptCount val="30"/>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pt idx="28">
                        <c:v>2020</c:v>
                      </c:pt>
                      <c:pt idx="29">
                        <c:v>2021</c:v>
                      </c:pt>
                    </c:strCache>
                  </c:strRef>
                </c:cat>
                <c:val>
                  <c:numRef>
                    <c:extLst>
                      <c:ext uri="{02D57815-91ED-43cb-92C2-25804820EDAC}">
                        <c15:formulaRef>
                          <c15:sqref>'Data for UG graph'!$H$5:$CT$5</c15:sqref>
                        </c15:formulaRef>
                      </c:ext>
                    </c:extLst>
                    <c:numCache>
                      <c:formatCode>??.0</c:formatCode>
                      <c:ptCount val="30"/>
                      <c:pt idx="0">
                        <c:v>39.92</c:v>
                      </c:pt>
                      <c:pt idx="1">
                        <c:v>39.760000000000005</c:v>
                      </c:pt>
                      <c:pt idx="2">
                        <c:v>39.08</c:v>
                      </c:pt>
                      <c:pt idx="3">
                        <c:v>37.719999999999992</c:v>
                      </c:pt>
                      <c:pt idx="4">
                        <c:v>36.200000000000003</c:v>
                      </c:pt>
                      <c:pt idx="5">
                        <c:v>55.120000000000005</c:v>
                      </c:pt>
                      <c:pt idx="6">
                        <c:v>54.320000000000007</c:v>
                      </c:pt>
                      <c:pt idx="7">
                        <c:v>53.7</c:v>
                      </c:pt>
                      <c:pt idx="8">
                        <c:v>53.160000000000004</c:v>
                      </c:pt>
                      <c:pt idx="9">
                        <c:v>52</c:v>
                      </c:pt>
                      <c:pt idx="10">
                        <c:v>30.2</c:v>
                      </c:pt>
                      <c:pt idx="11">
                        <c:v>29.82</c:v>
                      </c:pt>
                      <c:pt idx="12">
                        <c:v>29.439999999999998</c:v>
                      </c:pt>
                      <c:pt idx="13">
                        <c:v>29.1</c:v>
                      </c:pt>
                      <c:pt idx="14">
                        <c:v>29.160000000000004</c:v>
                      </c:pt>
                      <c:pt idx="15">
                        <c:v>39.840000000000003</c:v>
                      </c:pt>
                      <c:pt idx="16">
                        <c:v>40.160000000000004</c:v>
                      </c:pt>
                      <c:pt idx="17">
                        <c:v>39.000000000000007</c:v>
                      </c:pt>
                      <c:pt idx="18">
                        <c:v>38.019999999999996</c:v>
                      </c:pt>
                      <c:pt idx="19">
                        <c:v>37.14</c:v>
                      </c:pt>
                      <c:pt idx="20">
                        <c:v>44.04</c:v>
                      </c:pt>
                      <c:pt idx="21">
                        <c:v>42.719999999999992</c:v>
                      </c:pt>
                      <c:pt idx="22">
                        <c:v>40.76</c:v>
                      </c:pt>
                      <c:pt idx="23">
                        <c:v>38.78</c:v>
                      </c:pt>
                      <c:pt idx="24">
                        <c:v>37.040000000000006</c:v>
                      </c:pt>
                      <c:pt idx="25">
                        <c:v>38.159999999999997</c:v>
                      </c:pt>
                      <c:pt idx="26">
                        <c:v>38.380000000000003</c:v>
                      </c:pt>
                      <c:pt idx="27">
                        <c:v>38.299999999999997</c:v>
                      </c:pt>
                      <c:pt idx="28">
                        <c:v>37.949999999999996</c:v>
                      </c:pt>
                      <c:pt idx="29">
                        <c:v>37.716666666666669</c:v>
                      </c:pt>
                    </c:numCache>
                  </c:numRef>
                </c:val>
                <c:smooth val="0"/>
                <c:extLst>
                  <c:ext xmlns:c16="http://schemas.microsoft.com/office/drawing/2014/chart" uri="{C3380CC4-5D6E-409C-BE32-E72D297353CC}">
                    <c16:uniqueId val="{00000046-10C7-4CF7-A6CE-7F40BB3B9F1D}"/>
                  </c:ext>
                </c:extLst>
              </c15:ser>
            </c15:filteredLineSeries>
          </c:ext>
        </c:extLst>
      </c:lineChart>
      <c:catAx>
        <c:axId val="251780272"/>
        <c:scaling>
          <c:orientation val="minMax"/>
        </c:scaling>
        <c:delete val="0"/>
        <c:axPos val="b"/>
        <c:numFmt formatCode="General" sourceLinked="1"/>
        <c:majorTickMark val="none"/>
        <c:minorTickMark val="none"/>
        <c:tickLblPos val="nextTo"/>
        <c:spPr>
          <a:ln w="12700">
            <a:solidFill>
              <a:schemeClr val="tx1"/>
            </a:solidFill>
          </a:ln>
        </c:spPr>
        <c:txPr>
          <a:bodyPr/>
          <a:lstStyle/>
          <a:p>
            <a:pPr>
              <a:defRPr sz="800" b="1"/>
            </a:pPr>
            <a:endParaRPr lang="en-US"/>
          </a:p>
        </c:txPr>
        <c:crossAx val="251780664"/>
        <c:crossesAt val="0"/>
        <c:auto val="0"/>
        <c:lblAlgn val="ctr"/>
        <c:lblOffset val="100"/>
        <c:noMultiLvlLbl val="0"/>
      </c:catAx>
      <c:valAx>
        <c:axId val="251780664"/>
        <c:scaling>
          <c:orientation val="minMax"/>
        </c:scaling>
        <c:delete val="0"/>
        <c:axPos val="l"/>
        <c:title>
          <c:tx>
            <c:rich>
              <a:bodyPr rot="-5400000" vert="horz"/>
              <a:lstStyle/>
              <a:p>
                <a:pPr>
                  <a:defRPr/>
                </a:pPr>
                <a:r>
                  <a:rPr lang="en-US"/>
                  <a:t>NUMBER OF STUDENTS</a:t>
                </a:r>
              </a:p>
            </c:rich>
          </c:tx>
          <c:layout>
            <c:manualLayout>
              <c:xMode val="edge"/>
              <c:yMode val="edge"/>
              <c:x val="1.0028857885468025E-3"/>
              <c:y val="0.25959711520807954"/>
            </c:manualLayout>
          </c:layout>
          <c:overlay val="0"/>
        </c:title>
        <c:numFmt formatCode="#,##0" sourceLinked="0"/>
        <c:majorTickMark val="out"/>
        <c:minorTickMark val="none"/>
        <c:tickLblPos val="nextTo"/>
        <c:spPr>
          <a:ln w="12700">
            <a:solidFill>
              <a:schemeClr val="tx1"/>
            </a:solidFill>
          </a:ln>
        </c:spPr>
        <c:txPr>
          <a:bodyPr/>
          <a:lstStyle/>
          <a:p>
            <a:pPr>
              <a:defRPr b="1"/>
            </a:pPr>
            <a:endParaRPr lang="en-US"/>
          </a:p>
        </c:txPr>
        <c:crossAx val="251780272"/>
        <c:crosses val="autoZero"/>
        <c:crossBetween val="between"/>
      </c:valAx>
    </c:plotArea>
    <c:legend>
      <c:legendPos val="t"/>
      <c:legendEntry>
        <c:idx val="0"/>
        <c:delete val="1"/>
      </c:legendEntry>
      <c:layout>
        <c:manualLayout>
          <c:xMode val="edge"/>
          <c:yMode val="edge"/>
          <c:x val="0.42176485362654537"/>
          <c:y val="8.3413589200463739E-2"/>
          <c:w val="0.14414257443041936"/>
          <c:h val="5.3918090650704083E-2"/>
        </c:manualLayout>
      </c:layout>
      <c:overlay val="0"/>
    </c:legend>
    <c:plotVisOnly val="1"/>
    <c:dispBlanksAs val="gap"/>
    <c:showDLblsOverMax val="0"/>
  </c:chart>
  <c:spPr>
    <a:noFill/>
    <a:ln>
      <a:noFill/>
    </a:ln>
  </c:spPr>
  <c:txPr>
    <a:bodyPr/>
    <a:lstStyle/>
    <a:p>
      <a:pPr>
        <a:defRPr sz="1200">
          <a:latin typeface="Univers LT Std 45 Light" panose="020B0703030502020204" pitchFamily="34" charset="0"/>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Univers LT Std 45 Light" panose="020B0703030502020204" pitchFamily="34" charset="0"/>
                <a:ea typeface="+mn-ea"/>
                <a:cs typeface="+mn-cs"/>
              </a:defRPr>
            </a:pPr>
            <a:r>
              <a:rPr lang="en-US" sz="1800">
                <a:solidFill>
                  <a:schemeClr val="tx1"/>
                </a:solidFill>
              </a:rPr>
              <a:t>Average Graduate</a:t>
            </a:r>
            <a:r>
              <a:rPr lang="en-US" sz="1800" baseline="0">
                <a:solidFill>
                  <a:schemeClr val="tx1"/>
                </a:solidFill>
              </a:rPr>
              <a:t> </a:t>
            </a:r>
            <a:r>
              <a:rPr lang="en-US" sz="1800">
                <a:solidFill>
                  <a:schemeClr val="tx1"/>
                </a:solidFill>
              </a:rPr>
              <a:t>Section Size</a:t>
            </a:r>
          </a:p>
        </c:rich>
      </c:tx>
      <c:layout>
        <c:manualLayout>
          <c:xMode val="edge"/>
          <c:yMode val="edge"/>
          <c:x val="0.30541557934981262"/>
          <c:y val="0.15443038443723944"/>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Univers LT Std 45 Light" panose="020B0703030502020204" pitchFamily="34" charset="0"/>
              <a:ea typeface="+mn-ea"/>
              <a:cs typeface="+mn-cs"/>
            </a:defRPr>
          </a:pPr>
          <a:endParaRPr lang="en-US"/>
        </a:p>
      </c:txPr>
    </c:title>
    <c:autoTitleDeleted val="0"/>
    <c:plotArea>
      <c:layout>
        <c:manualLayout>
          <c:layoutTarget val="inner"/>
          <c:xMode val="edge"/>
          <c:yMode val="edge"/>
          <c:x val="8.282723345259535E-2"/>
          <c:y val="0.12666671046007003"/>
          <c:w val="0.9037417205841719"/>
          <c:h val="0.72098104418175701"/>
        </c:manualLayout>
      </c:layout>
      <c:barChart>
        <c:barDir val="col"/>
        <c:grouping val="clustered"/>
        <c:varyColors val="0"/>
        <c:ser>
          <c:idx val="0"/>
          <c:order val="0"/>
          <c:tx>
            <c:strRef>
              <c:f>'Data for Grad Graph'!$A$5</c:f>
              <c:strCache>
                <c:ptCount val="1"/>
                <c:pt idx="0">
                  <c:v>Graduate Average Section Size</c:v>
                </c:pt>
              </c:strCache>
            </c:strRef>
          </c:tx>
          <c:spPr>
            <a:solidFill>
              <a:schemeClr val="accent1"/>
            </a:solidFill>
            <a:ln>
              <a:noFill/>
            </a:ln>
            <a:effectLst/>
          </c:spPr>
          <c:invertIfNegative val="0"/>
          <c:dPt>
            <c:idx val="0"/>
            <c:invertIfNegative val="0"/>
            <c:bubble3D val="0"/>
            <c:spPr>
              <a:solidFill>
                <a:srgbClr val="076D54"/>
              </a:solidFill>
              <a:ln>
                <a:noFill/>
              </a:ln>
              <a:effectLst/>
            </c:spPr>
            <c:extLst>
              <c:ext xmlns:c16="http://schemas.microsoft.com/office/drawing/2014/chart" uri="{C3380CC4-5D6E-409C-BE32-E72D297353CC}">
                <c16:uniqueId val="{00000001-667D-4FD8-8882-891D739684B1}"/>
              </c:ext>
            </c:extLst>
          </c:dPt>
          <c:dPt>
            <c:idx val="1"/>
            <c:invertIfNegative val="0"/>
            <c:bubble3D val="0"/>
            <c:spPr>
              <a:solidFill>
                <a:srgbClr val="076D54"/>
              </a:solidFill>
              <a:ln>
                <a:noFill/>
              </a:ln>
              <a:effectLst/>
            </c:spPr>
            <c:extLst>
              <c:ext xmlns:c16="http://schemas.microsoft.com/office/drawing/2014/chart" uri="{C3380CC4-5D6E-409C-BE32-E72D297353CC}">
                <c16:uniqueId val="{00000003-667D-4FD8-8882-891D739684B1}"/>
              </c:ext>
            </c:extLst>
          </c:dPt>
          <c:dPt>
            <c:idx val="2"/>
            <c:invertIfNegative val="0"/>
            <c:bubble3D val="0"/>
            <c:spPr>
              <a:solidFill>
                <a:srgbClr val="076D54"/>
              </a:solidFill>
              <a:ln>
                <a:noFill/>
              </a:ln>
              <a:effectLst/>
            </c:spPr>
            <c:extLst>
              <c:ext xmlns:c16="http://schemas.microsoft.com/office/drawing/2014/chart" uri="{C3380CC4-5D6E-409C-BE32-E72D297353CC}">
                <c16:uniqueId val="{00000005-667D-4FD8-8882-891D739684B1}"/>
              </c:ext>
            </c:extLst>
          </c:dPt>
          <c:dPt>
            <c:idx val="3"/>
            <c:invertIfNegative val="0"/>
            <c:bubble3D val="0"/>
            <c:spPr>
              <a:solidFill>
                <a:srgbClr val="076D54"/>
              </a:solidFill>
              <a:ln>
                <a:noFill/>
              </a:ln>
              <a:effectLst/>
            </c:spPr>
            <c:extLst>
              <c:ext xmlns:c16="http://schemas.microsoft.com/office/drawing/2014/chart" uri="{C3380CC4-5D6E-409C-BE32-E72D297353CC}">
                <c16:uniqueId val="{00000007-667D-4FD8-8882-891D739684B1}"/>
              </c:ext>
            </c:extLst>
          </c:dPt>
          <c:dPt>
            <c:idx val="4"/>
            <c:invertIfNegative val="0"/>
            <c:bubble3D val="0"/>
            <c:spPr>
              <a:solidFill>
                <a:srgbClr val="076D54"/>
              </a:solidFill>
              <a:ln>
                <a:noFill/>
              </a:ln>
              <a:effectLst/>
            </c:spPr>
            <c:extLst>
              <c:ext xmlns:c16="http://schemas.microsoft.com/office/drawing/2014/chart" uri="{C3380CC4-5D6E-409C-BE32-E72D297353CC}">
                <c16:uniqueId val="{00000009-667D-4FD8-8882-891D739684B1}"/>
              </c:ext>
            </c:extLst>
          </c:dPt>
          <c:dPt>
            <c:idx val="5"/>
            <c:invertIfNegative val="0"/>
            <c:bubble3D val="0"/>
            <c:spPr>
              <a:solidFill>
                <a:srgbClr val="C4B796"/>
              </a:solidFill>
              <a:ln>
                <a:noFill/>
              </a:ln>
              <a:effectLst/>
            </c:spPr>
            <c:extLst>
              <c:ext xmlns:c16="http://schemas.microsoft.com/office/drawing/2014/chart" uri="{C3380CC4-5D6E-409C-BE32-E72D297353CC}">
                <c16:uniqueId val="{0000000B-667D-4FD8-8882-891D739684B1}"/>
              </c:ext>
            </c:extLst>
          </c:dPt>
          <c:dPt>
            <c:idx val="6"/>
            <c:invertIfNegative val="0"/>
            <c:bubble3D val="0"/>
            <c:spPr>
              <a:solidFill>
                <a:srgbClr val="C4B796"/>
              </a:solidFill>
              <a:ln>
                <a:noFill/>
              </a:ln>
              <a:effectLst/>
            </c:spPr>
            <c:extLst>
              <c:ext xmlns:c16="http://schemas.microsoft.com/office/drawing/2014/chart" uri="{C3380CC4-5D6E-409C-BE32-E72D297353CC}">
                <c16:uniqueId val="{0000000D-667D-4FD8-8882-891D739684B1}"/>
              </c:ext>
            </c:extLst>
          </c:dPt>
          <c:dPt>
            <c:idx val="7"/>
            <c:invertIfNegative val="0"/>
            <c:bubble3D val="0"/>
            <c:spPr>
              <a:solidFill>
                <a:srgbClr val="C4B796"/>
              </a:solidFill>
              <a:ln>
                <a:noFill/>
              </a:ln>
              <a:effectLst/>
            </c:spPr>
            <c:extLst>
              <c:ext xmlns:c16="http://schemas.microsoft.com/office/drawing/2014/chart" uri="{C3380CC4-5D6E-409C-BE32-E72D297353CC}">
                <c16:uniqueId val="{0000000F-667D-4FD8-8882-891D739684B1}"/>
              </c:ext>
            </c:extLst>
          </c:dPt>
          <c:dPt>
            <c:idx val="8"/>
            <c:invertIfNegative val="0"/>
            <c:bubble3D val="0"/>
            <c:spPr>
              <a:solidFill>
                <a:srgbClr val="C4B796"/>
              </a:solidFill>
              <a:ln>
                <a:noFill/>
              </a:ln>
              <a:effectLst/>
            </c:spPr>
            <c:extLst>
              <c:ext xmlns:c16="http://schemas.microsoft.com/office/drawing/2014/chart" uri="{C3380CC4-5D6E-409C-BE32-E72D297353CC}">
                <c16:uniqueId val="{00000011-667D-4FD8-8882-891D739684B1}"/>
              </c:ext>
            </c:extLst>
          </c:dPt>
          <c:dPt>
            <c:idx val="9"/>
            <c:invertIfNegative val="0"/>
            <c:bubble3D val="0"/>
            <c:spPr>
              <a:solidFill>
                <a:srgbClr val="C4B796"/>
              </a:solidFill>
              <a:ln>
                <a:noFill/>
              </a:ln>
              <a:effectLst/>
            </c:spPr>
            <c:extLst>
              <c:ext xmlns:c16="http://schemas.microsoft.com/office/drawing/2014/chart" uri="{C3380CC4-5D6E-409C-BE32-E72D297353CC}">
                <c16:uniqueId val="{00000013-667D-4FD8-8882-891D739684B1}"/>
              </c:ext>
            </c:extLst>
          </c:dPt>
          <c:dPt>
            <c:idx val="10"/>
            <c:invertIfNegative val="0"/>
            <c:bubble3D val="0"/>
            <c:spPr>
              <a:solidFill>
                <a:srgbClr val="8499A5"/>
              </a:solidFill>
              <a:ln>
                <a:noFill/>
              </a:ln>
              <a:effectLst/>
            </c:spPr>
            <c:extLst>
              <c:ext xmlns:c16="http://schemas.microsoft.com/office/drawing/2014/chart" uri="{C3380CC4-5D6E-409C-BE32-E72D297353CC}">
                <c16:uniqueId val="{00000015-667D-4FD8-8882-891D739684B1}"/>
              </c:ext>
            </c:extLst>
          </c:dPt>
          <c:dPt>
            <c:idx val="11"/>
            <c:invertIfNegative val="0"/>
            <c:bubble3D val="0"/>
            <c:spPr>
              <a:solidFill>
                <a:srgbClr val="8499A5"/>
              </a:solidFill>
              <a:ln>
                <a:noFill/>
              </a:ln>
              <a:effectLst/>
            </c:spPr>
            <c:extLst>
              <c:ext xmlns:c16="http://schemas.microsoft.com/office/drawing/2014/chart" uri="{C3380CC4-5D6E-409C-BE32-E72D297353CC}">
                <c16:uniqueId val="{00000017-667D-4FD8-8882-891D739684B1}"/>
              </c:ext>
            </c:extLst>
          </c:dPt>
          <c:dPt>
            <c:idx val="12"/>
            <c:invertIfNegative val="0"/>
            <c:bubble3D val="0"/>
            <c:spPr>
              <a:solidFill>
                <a:srgbClr val="8499A5"/>
              </a:solidFill>
              <a:ln>
                <a:noFill/>
              </a:ln>
              <a:effectLst/>
            </c:spPr>
            <c:extLst>
              <c:ext xmlns:c16="http://schemas.microsoft.com/office/drawing/2014/chart" uri="{C3380CC4-5D6E-409C-BE32-E72D297353CC}">
                <c16:uniqueId val="{00000019-667D-4FD8-8882-891D739684B1}"/>
              </c:ext>
            </c:extLst>
          </c:dPt>
          <c:dPt>
            <c:idx val="13"/>
            <c:invertIfNegative val="0"/>
            <c:bubble3D val="0"/>
            <c:spPr>
              <a:solidFill>
                <a:srgbClr val="8499A5"/>
              </a:solidFill>
              <a:ln>
                <a:noFill/>
              </a:ln>
              <a:effectLst/>
            </c:spPr>
            <c:extLst>
              <c:ext xmlns:c16="http://schemas.microsoft.com/office/drawing/2014/chart" uri="{C3380CC4-5D6E-409C-BE32-E72D297353CC}">
                <c16:uniqueId val="{0000001B-667D-4FD8-8882-891D739684B1}"/>
              </c:ext>
            </c:extLst>
          </c:dPt>
          <c:dPt>
            <c:idx val="14"/>
            <c:invertIfNegative val="0"/>
            <c:bubble3D val="0"/>
            <c:spPr>
              <a:solidFill>
                <a:srgbClr val="8499A5"/>
              </a:solidFill>
              <a:ln>
                <a:noFill/>
              </a:ln>
              <a:effectLst/>
            </c:spPr>
            <c:extLst>
              <c:ext xmlns:c16="http://schemas.microsoft.com/office/drawing/2014/chart" uri="{C3380CC4-5D6E-409C-BE32-E72D297353CC}">
                <c16:uniqueId val="{0000001D-667D-4FD8-8882-891D739684B1}"/>
              </c:ext>
            </c:extLst>
          </c:dPt>
          <c:dPt>
            <c:idx val="15"/>
            <c:invertIfNegative val="0"/>
            <c:bubble3D val="0"/>
            <c:spPr>
              <a:solidFill>
                <a:srgbClr val="CE1126"/>
              </a:solidFill>
              <a:ln>
                <a:noFill/>
              </a:ln>
              <a:effectLst/>
            </c:spPr>
            <c:extLst>
              <c:ext xmlns:c16="http://schemas.microsoft.com/office/drawing/2014/chart" uri="{C3380CC4-5D6E-409C-BE32-E72D297353CC}">
                <c16:uniqueId val="{0000001F-667D-4FD8-8882-891D739684B1}"/>
              </c:ext>
            </c:extLst>
          </c:dPt>
          <c:dPt>
            <c:idx val="16"/>
            <c:invertIfNegative val="0"/>
            <c:bubble3D val="0"/>
            <c:spPr>
              <a:solidFill>
                <a:srgbClr val="CE1126"/>
              </a:solidFill>
              <a:ln>
                <a:noFill/>
              </a:ln>
              <a:effectLst/>
            </c:spPr>
            <c:extLst>
              <c:ext xmlns:c16="http://schemas.microsoft.com/office/drawing/2014/chart" uri="{C3380CC4-5D6E-409C-BE32-E72D297353CC}">
                <c16:uniqueId val="{00000021-667D-4FD8-8882-891D739684B1}"/>
              </c:ext>
            </c:extLst>
          </c:dPt>
          <c:dPt>
            <c:idx val="17"/>
            <c:invertIfNegative val="0"/>
            <c:bubble3D val="0"/>
            <c:spPr>
              <a:solidFill>
                <a:srgbClr val="CE1126"/>
              </a:solidFill>
              <a:ln>
                <a:noFill/>
              </a:ln>
              <a:effectLst/>
            </c:spPr>
            <c:extLst>
              <c:ext xmlns:c16="http://schemas.microsoft.com/office/drawing/2014/chart" uri="{C3380CC4-5D6E-409C-BE32-E72D297353CC}">
                <c16:uniqueId val="{00000023-667D-4FD8-8882-891D739684B1}"/>
              </c:ext>
            </c:extLst>
          </c:dPt>
          <c:dPt>
            <c:idx val="18"/>
            <c:invertIfNegative val="0"/>
            <c:bubble3D val="0"/>
            <c:spPr>
              <a:solidFill>
                <a:srgbClr val="CE1126"/>
              </a:solidFill>
              <a:ln>
                <a:noFill/>
              </a:ln>
              <a:effectLst/>
            </c:spPr>
            <c:extLst>
              <c:ext xmlns:c16="http://schemas.microsoft.com/office/drawing/2014/chart" uri="{C3380CC4-5D6E-409C-BE32-E72D297353CC}">
                <c16:uniqueId val="{00000025-667D-4FD8-8882-891D739684B1}"/>
              </c:ext>
            </c:extLst>
          </c:dPt>
          <c:dPt>
            <c:idx val="19"/>
            <c:invertIfNegative val="0"/>
            <c:bubble3D val="0"/>
            <c:spPr>
              <a:solidFill>
                <a:srgbClr val="CE1126"/>
              </a:solidFill>
              <a:ln>
                <a:noFill/>
              </a:ln>
              <a:effectLst/>
            </c:spPr>
            <c:extLst>
              <c:ext xmlns:c16="http://schemas.microsoft.com/office/drawing/2014/chart" uri="{C3380CC4-5D6E-409C-BE32-E72D297353CC}">
                <c16:uniqueId val="{00000027-667D-4FD8-8882-891D739684B1}"/>
              </c:ext>
            </c:extLst>
          </c:dPt>
          <c:dPt>
            <c:idx val="20"/>
            <c:invertIfNegative val="0"/>
            <c:bubble3D val="0"/>
            <c:spPr>
              <a:solidFill>
                <a:srgbClr val="3A75C4"/>
              </a:solidFill>
              <a:ln>
                <a:noFill/>
              </a:ln>
              <a:effectLst/>
            </c:spPr>
            <c:extLst>
              <c:ext xmlns:c16="http://schemas.microsoft.com/office/drawing/2014/chart" uri="{C3380CC4-5D6E-409C-BE32-E72D297353CC}">
                <c16:uniqueId val="{00000029-667D-4FD8-8882-891D739684B1}"/>
              </c:ext>
            </c:extLst>
          </c:dPt>
          <c:dPt>
            <c:idx val="25"/>
            <c:invertIfNegative val="0"/>
            <c:bubble3D val="0"/>
            <c:spPr>
              <a:solidFill>
                <a:srgbClr val="F2BF49"/>
              </a:solidFill>
              <a:ln>
                <a:noFill/>
              </a:ln>
              <a:effectLst/>
            </c:spPr>
            <c:extLst>
              <c:ext xmlns:c16="http://schemas.microsoft.com/office/drawing/2014/chart" uri="{C3380CC4-5D6E-409C-BE32-E72D297353CC}">
                <c16:uniqueId val="{0000002B-667D-4FD8-8882-891D739684B1}"/>
              </c:ext>
            </c:extLst>
          </c:dPt>
          <c:dPt>
            <c:idx val="26"/>
            <c:invertIfNegative val="0"/>
            <c:bubble3D val="0"/>
            <c:spPr>
              <a:solidFill>
                <a:srgbClr val="F2BF49"/>
              </a:solidFill>
              <a:ln>
                <a:noFill/>
              </a:ln>
              <a:effectLst/>
            </c:spPr>
            <c:extLst>
              <c:ext xmlns:c16="http://schemas.microsoft.com/office/drawing/2014/chart" uri="{C3380CC4-5D6E-409C-BE32-E72D297353CC}">
                <c16:uniqueId val="{0000002D-667D-4FD8-8882-891D739684B1}"/>
              </c:ext>
            </c:extLst>
          </c:dPt>
          <c:dPt>
            <c:idx val="27"/>
            <c:invertIfNegative val="0"/>
            <c:bubble3D val="0"/>
            <c:spPr>
              <a:solidFill>
                <a:srgbClr val="F2BF49"/>
              </a:solidFill>
              <a:ln>
                <a:noFill/>
              </a:ln>
              <a:effectLst/>
            </c:spPr>
            <c:extLst>
              <c:ext xmlns:c16="http://schemas.microsoft.com/office/drawing/2014/chart" uri="{C3380CC4-5D6E-409C-BE32-E72D297353CC}">
                <c16:uniqueId val="{0000002F-667D-4FD8-8882-891D739684B1}"/>
              </c:ext>
            </c:extLst>
          </c:dPt>
          <c:dPt>
            <c:idx val="28"/>
            <c:invertIfNegative val="0"/>
            <c:bubble3D val="0"/>
            <c:spPr>
              <a:solidFill>
                <a:srgbClr val="F2BF49"/>
              </a:solidFill>
              <a:ln>
                <a:noFill/>
              </a:ln>
              <a:effectLst/>
            </c:spPr>
            <c:extLst>
              <c:ext xmlns:c16="http://schemas.microsoft.com/office/drawing/2014/chart" uri="{C3380CC4-5D6E-409C-BE32-E72D297353CC}">
                <c16:uniqueId val="{00000031-667D-4FD8-8882-891D739684B1}"/>
              </c:ext>
            </c:extLst>
          </c:dPt>
          <c:dPt>
            <c:idx val="29"/>
            <c:invertIfNegative val="0"/>
            <c:bubble3D val="0"/>
            <c:spPr>
              <a:solidFill>
                <a:srgbClr val="F2BF49"/>
              </a:solidFill>
              <a:ln>
                <a:noFill/>
              </a:ln>
              <a:effectLst/>
            </c:spPr>
            <c:extLst>
              <c:ext xmlns:c16="http://schemas.microsoft.com/office/drawing/2014/chart" uri="{C3380CC4-5D6E-409C-BE32-E72D297353CC}">
                <c16:uniqueId val="{00000033-667D-4FD8-8882-891D739684B1}"/>
              </c:ext>
            </c:extLst>
          </c:dPt>
          <c:cat>
            <c:multiLvlStrRef>
              <c:f>'Data for Grad Graph'!$B$3:$CA$4</c:f>
              <c:multiLvlStrCache>
                <c:ptCount val="30"/>
                <c:lvl>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pt idx="28">
                    <c:v>2020</c:v>
                  </c:pt>
                  <c:pt idx="29">
                    <c:v>2021</c:v>
                  </c:pt>
                </c:lvl>
                <c:lvl>
                  <c:pt idx="0">
                    <c:v>Ag &amp; Life Sci</c:v>
                  </c:pt>
                  <c:pt idx="5">
                    <c:v> Business</c:v>
                  </c:pt>
                  <c:pt idx="10">
                    <c:v> Design</c:v>
                  </c:pt>
                  <c:pt idx="15">
                    <c:v> Engineering</c:v>
                  </c:pt>
                  <c:pt idx="20">
                    <c:v> Human Sci</c:v>
                  </c:pt>
                  <c:pt idx="25">
                    <c:v>LAS</c:v>
                  </c:pt>
                </c:lvl>
              </c:multiLvlStrCache>
            </c:multiLvlStrRef>
          </c:cat>
          <c:val>
            <c:numRef>
              <c:f>'Data for Grad Graph'!$B$5:$CA$5</c:f>
              <c:numCache>
                <c:formatCode>??.0</c:formatCode>
                <c:ptCount val="30"/>
                <c:pt idx="0">
                  <c:v>9.1999999999999993</c:v>
                </c:pt>
                <c:pt idx="1">
                  <c:v>9.1</c:v>
                </c:pt>
                <c:pt idx="2">
                  <c:v>8.6</c:v>
                </c:pt>
                <c:pt idx="3">
                  <c:v>7.1</c:v>
                </c:pt>
                <c:pt idx="4">
                  <c:v>7.5</c:v>
                </c:pt>
                <c:pt idx="5">
                  <c:v>19.899999999999999</c:v>
                </c:pt>
                <c:pt idx="6">
                  <c:v>17.600000000000001</c:v>
                </c:pt>
                <c:pt idx="7">
                  <c:v>15.3</c:v>
                </c:pt>
                <c:pt idx="8">
                  <c:v>21.1</c:v>
                </c:pt>
                <c:pt idx="9">
                  <c:v>17.8</c:v>
                </c:pt>
                <c:pt idx="10">
                  <c:v>9.6999999999999993</c:v>
                </c:pt>
                <c:pt idx="11">
                  <c:v>9.1</c:v>
                </c:pt>
                <c:pt idx="12">
                  <c:v>9</c:v>
                </c:pt>
                <c:pt idx="13">
                  <c:v>7.7</c:v>
                </c:pt>
                <c:pt idx="14">
                  <c:v>9.1999999999999993</c:v>
                </c:pt>
                <c:pt idx="15">
                  <c:v>17.2</c:v>
                </c:pt>
                <c:pt idx="16">
                  <c:v>15.6</c:v>
                </c:pt>
                <c:pt idx="17">
                  <c:v>13.4</c:v>
                </c:pt>
                <c:pt idx="18">
                  <c:v>10.6</c:v>
                </c:pt>
                <c:pt idx="19">
                  <c:v>11.5</c:v>
                </c:pt>
                <c:pt idx="20">
                  <c:v>7.8</c:v>
                </c:pt>
                <c:pt idx="21">
                  <c:v>8.3000000000000007</c:v>
                </c:pt>
                <c:pt idx="22">
                  <c:v>7.9</c:v>
                </c:pt>
                <c:pt idx="23">
                  <c:v>7.9</c:v>
                </c:pt>
                <c:pt idx="24">
                  <c:v>8.1999999999999993</c:v>
                </c:pt>
                <c:pt idx="25">
                  <c:v>14.8</c:v>
                </c:pt>
                <c:pt idx="26">
                  <c:v>14.1</c:v>
                </c:pt>
                <c:pt idx="27">
                  <c:v>14.3</c:v>
                </c:pt>
                <c:pt idx="28">
                  <c:v>12.4</c:v>
                </c:pt>
                <c:pt idx="29">
                  <c:v>14</c:v>
                </c:pt>
              </c:numCache>
            </c:numRef>
          </c:val>
          <c:extLst>
            <c:ext xmlns:c16="http://schemas.microsoft.com/office/drawing/2014/chart" uri="{C3380CC4-5D6E-409C-BE32-E72D297353CC}">
              <c16:uniqueId val="{00000034-667D-4FD8-8882-891D739684B1}"/>
            </c:ext>
          </c:extLst>
        </c:ser>
        <c:dLbls>
          <c:showLegendKey val="0"/>
          <c:showVal val="0"/>
          <c:showCatName val="0"/>
          <c:showSerName val="0"/>
          <c:showPercent val="0"/>
          <c:showBubbleSize val="0"/>
        </c:dLbls>
        <c:gapWidth val="23"/>
        <c:overlap val="-27"/>
        <c:axId val="871030120"/>
        <c:axId val="871036680"/>
      </c:barChart>
      <c:lineChart>
        <c:grouping val="standard"/>
        <c:varyColors val="0"/>
        <c:dLbls>
          <c:showLegendKey val="0"/>
          <c:showVal val="0"/>
          <c:showCatName val="0"/>
          <c:showSerName val="0"/>
          <c:showPercent val="0"/>
          <c:showBubbleSize val="0"/>
        </c:dLbls>
        <c:marker val="1"/>
        <c:smooth val="0"/>
        <c:axId val="871030120"/>
        <c:axId val="871036680"/>
        <c:extLst>
          <c:ext xmlns:c15="http://schemas.microsoft.com/office/drawing/2012/chart" uri="{02D57815-91ED-43cb-92C2-25804820EDAC}">
            <c15:filteredLineSeries>
              <c15:ser>
                <c:idx val="1"/>
                <c:order val="1"/>
                <c:tx>
                  <c:strRef>
                    <c:extLst>
                      <c:ext uri="{02D57815-91ED-43cb-92C2-25804820EDAC}">
                        <c15:formulaRef>
                          <c15:sqref>'Data for Grad Graph'!$A$6</c15:sqref>
                        </c15:formulaRef>
                      </c:ext>
                    </c:extLst>
                    <c:strCache>
                      <c:ptCount val="1"/>
                      <c:pt idx="0">
                        <c:v>Five-year Rolling Average</c:v>
                      </c:pt>
                    </c:strCache>
                  </c:strRef>
                </c:tx>
                <c:spPr>
                  <a:ln w="28575" cap="rnd">
                    <a:solidFill>
                      <a:schemeClr val="accent2"/>
                    </a:solidFill>
                    <a:round/>
                  </a:ln>
                  <a:effectLst/>
                </c:spPr>
                <c:marker>
                  <c:symbol val="none"/>
                </c:marker>
                <c:cat>
                  <c:multiLvlStrRef>
                    <c:extLst>
                      <c:ext uri="{02D57815-91ED-43cb-92C2-25804820EDAC}">
                        <c15:formulaRef>
                          <c15:sqref>'Data for Grad Graph'!$B$3:$CA$4</c15:sqref>
                        </c15:formulaRef>
                      </c:ext>
                    </c:extLst>
                    <c:multiLvlStrCache>
                      <c:ptCount val="30"/>
                      <c:lvl>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pt idx="28">
                          <c:v>2020</c:v>
                        </c:pt>
                        <c:pt idx="29">
                          <c:v>2021</c:v>
                        </c:pt>
                      </c:lvl>
                      <c:lvl>
                        <c:pt idx="0">
                          <c:v>Ag &amp; Life Sci</c:v>
                        </c:pt>
                        <c:pt idx="5">
                          <c:v> Business</c:v>
                        </c:pt>
                        <c:pt idx="10">
                          <c:v> Design</c:v>
                        </c:pt>
                        <c:pt idx="15">
                          <c:v> Engineering</c:v>
                        </c:pt>
                        <c:pt idx="20">
                          <c:v> Human Sci</c:v>
                        </c:pt>
                        <c:pt idx="25">
                          <c:v>LAS</c:v>
                        </c:pt>
                      </c:lvl>
                    </c:multiLvlStrCache>
                  </c:multiLvlStrRef>
                </c:cat>
                <c:val>
                  <c:numRef>
                    <c:extLst>
                      <c:ext uri="{02D57815-91ED-43cb-92C2-25804820EDAC}">
                        <c15:formulaRef>
                          <c15:sqref>'Data for Grad Graph'!$B$6:$CA$6</c15:sqref>
                        </c15:formulaRef>
                      </c:ext>
                    </c:extLst>
                    <c:numCache>
                      <c:formatCode>??.0</c:formatCode>
                      <c:ptCount val="30"/>
                      <c:pt idx="0">
                        <c:v>10.3</c:v>
                      </c:pt>
                      <c:pt idx="1">
                        <c:v>9.9600000000000009</c:v>
                      </c:pt>
                      <c:pt idx="2">
                        <c:v>9.4599999999999991</c:v>
                      </c:pt>
                      <c:pt idx="3">
                        <c:v>8.92</c:v>
                      </c:pt>
                      <c:pt idx="4">
                        <c:v>8.3000000000000007</c:v>
                      </c:pt>
                      <c:pt idx="5">
                        <c:v>21.139999999999997</c:v>
                      </c:pt>
                      <c:pt idx="6">
                        <c:v>20.659999999999997</c:v>
                      </c:pt>
                      <c:pt idx="7">
                        <c:v>18.86</c:v>
                      </c:pt>
                      <c:pt idx="8">
                        <c:v>18.72</c:v>
                      </c:pt>
                      <c:pt idx="9">
                        <c:v>18.34</c:v>
                      </c:pt>
                      <c:pt idx="10">
                        <c:v>9.48</c:v>
                      </c:pt>
                      <c:pt idx="11">
                        <c:v>9.5</c:v>
                      </c:pt>
                      <c:pt idx="12">
                        <c:v>9.1999999999999993</c:v>
                      </c:pt>
                      <c:pt idx="13">
                        <c:v>8.8000000000000007</c:v>
                      </c:pt>
                      <c:pt idx="14">
                        <c:v>8.9400000000000013</c:v>
                      </c:pt>
                      <c:pt idx="15">
                        <c:v>16.16</c:v>
                      </c:pt>
                      <c:pt idx="16">
                        <c:v>16.36</c:v>
                      </c:pt>
                      <c:pt idx="17">
                        <c:v>15.719999999999999</c:v>
                      </c:pt>
                      <c:pt idx="18">
                        <c:v>14.540000000000001</c:v>
                      </c:pt>
                      <c:pt idx="19">
                        <c:v>13.66</c:v>
                      </c:pt>
                      <c:pt idx="20">
                        <c:v>9</c:v>
                      </c:pt>
                      <c:pt idx="21">
                        <c:v>8.7800000000000011</c:v>
                      </c:pt>
                      <c:pt idx="22">
                        <c:v>8.18</c:v>
                      </c:pt>
                      <c:pt idx="23">
                        <c:v>8.08</c:v>
                      </c:pt>
                      <c:pt idx="24">
                        <c:v>8.02</c:v>
                      </c:pt>
                      <c:pt idx="25">
                        <c:v>13.86</c:v>
                      </c:pt>
                      <c:pt idx="26">
                        <c:v>14.2</c:v>
                      </c:pt>
                      <c:pt idx="27">
                        <c:v>14.3</c:v>
                      </c:pt>
                      <c:pt idx="28">
                        <c:v>13.88</c:v>
                      </c:pt>
                      <c:pt idx="29">
                        <c:v>13.919999999999998</c:v>
                      </c:pt>
                    </c:numCache>
                  </c:numRef>
                </c:val>
                <c:smooth val="0"/>
                <c:extLst>
                  <c:ext xmlns:c16="http://schemas.microsoft.com/office/drawing/2014/chart" uri="{C3380CC4-5D6E-409C-BE32-E72D297353CC}">
                    <c16:uniqueId val="{00000035-667D-4FD8-8882-891D739684B1}"/>
                  </c:ext>
                </c:extLst>
              </c15:ser>
            </c15:filteredLineSeries>
          </c:ext>
        </c:extLst>
      </c:lineChart>
      <c:catAx>
        <c:axId val="871030120"/>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800" b="1" i="0" u="none" strike="noStrike" kern="1200" baseline="0">
                <a:solidFill>
                  <a:schemeClr val="tx1"/>
                </a:solidFill>
                <a:latin typeface="Univers LT Std 45 Light" panose="020B0703030502020204" pitchFamily="34" charset="0"/>
                <a:ea typeface="+mn-ea"/>
                <a:cs typeface="+mn-cs"/>
              </a:defRPr>
            </a:pPr>
            <a:endParaRPr lang="en-US"/>
          </a:p>
        </c:txPr>
        <c:crossAx val="871036680"/>
        <c:crosses val="autoZero"/>
        <c:auto val="1"/>
        <c:lblAlgn val="ctr"/>
        <c:lblOffset val="100"/>
        <c:noMultiLvlLbl val="0"/>
      </c:catAx>
      <c:valAx>
        <c:axId val="871036680"/>
        <c:scaling>
          <c:orientation val="minMax"/>
          <c:max val="60"/>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Univers LT Std 45 Light" panose="020B0703030502020204" pitchFamily="34" charset="0"/>
                    <a:ea typeface="+mn-ea"/>
                    <a:cs typeface="+mn-cs"/>
                  </a:defRPr>
                </a:pPr>
                <a:r>
                  <a:rPr lang="en-US" sz="1200">
                    <a:solidFill>
                      <a:sysClr val="windowText" lastClr="000000"/>
                    </a:solidFill>
                  </a:rPr>
                  <a:t>NUMBER</a:t>
                </a:r>
                <a:r>
                  <a:rPr lang="en-US" sz="1200" baseline="0">
                    <a:solidFill>
                      <a:sysClr val="windowText" lastClr="000000"/>
                    </a:solidFill>
                  </a:rPr>
                  <a:t> OF STUDENTS</a:t>
                </a:r>
                <a:endParaRPr lang="en-US" sz="1200">
                  <a:solidFill>
                    <a:sysClr val="windowText" lastClr="000000"/>
                  </a:solidFill>
                </a:endParaRPr>
              </a:p>
            </c:rich>
          </c:tx>
          <c:layout>
            <c:manualLayout>
              <c:xMode val="edge"/>
              <c:yMode val="edge"/>
              <c:x val="1.1599852907364944E-2"/>
              <c:y val="0.2013263109616168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Univers LT Std 45 Light" panose="020B0703030502020204" pitchFamily="34" charset="0"/>
                  <a:ea typeface="+mn-ea"/>
                  <a:cs typeface="+mn-cs"/>
                </a:defRPr>
              </a:pPr>
              <a:endParaRPr lang="en-US"/>
            </a:p>
          </c:txPr>
        </c:title>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1" i="0" u="none" strike="noStrike" kern="1200" baseline="0">
                <a:solidFill>
                  <a:schemeClr val="tx1"/>
                </a:solidFill>
                <a:latin typeface="Univers LT Std 45 Light" panose="020B0703030502020204" pitchFamily="34" charset="0"/>
                <a:ea typeface="+mn-ea"/>
                <a:cs typeface="+mn-cs"/>
              </a:defRPr>
            </a:pPr>
            <a:endParaRPr lang="en-US"/>
          </a:p>
        </c:txPr>
        <c:crossAx val="871030120"/>
        <c:crosses val="autoZero"/>
        <c:crossBetween val="between"/>
        <c:majorUnit val="10"/>
        <c:minorUnit val="10"/>
      </c:valAx>
      <c:spPr>
        <a:noFill/>
        <a:ln>
          <a:noFill/>
        </a:ln>
        <a:effectLst/>
      </c:spPr>
    </c:plotArea>
    <c:legend>
      <c:legendPos val="b"/>
      <c:legendEntry>
        <c:idx val="0"/>
        <c:delete val="1"/>
      </c:legendEntry>
      <c:layout>
        <c:manualLayout>
          <c:xMode val="edge"/>
          <c:yMode val="edge"/>
          <c:x val="0.42234960629921259"/>
          <c:y val="0.10353792829361977"/>
          <c:w val="0"/>
          <c:h val="1.7877092875016598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Univers LT Std 45 Light" panose="020B07030305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b="1">
          <a:latin typeface="Univers LT Std 45 Light" panose="020B07030305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66004463429474E-2"/>
          <c:y val="6.167556752440069E-2"/>
          <c:w val="0.96031071500641396"/>
          <c:h val="0.85277344739114125"/>
        </c:manualLayout>
      </c:layout>
      <c:barChart>
        <c:barDir val="col"/>
        <c:grouping val="clustered"/>
        <c:varyColors val="0"/>
        <c:ser>
          <c:idx val="0"/>
          <c:order val="0"/>
          <c:tx>
            <c:strRef>
              <c:f>'Data for UG graph'!$A$4</c:f>
              <c:strCache>
                <c:ptCount val="1"/>
                <c:pt idx="0">
                  <c:v>Undergraduate Average Section Size</c:v>
                </c:pt>
              </c:strCache>
            </c:strRef>
          </c:tx>
          <c:invertIfNegative val="0"/>
          <c:dPt>
            <c:idx val="0"/>
            <c:invertIfNegative val="0"/>
            <c:bubble3D val="0"/>
            <c:spPr>
              <a:solidFill>
                <a:srgbClr val="92D050"/>
              </a:solidFill>
            </c:spPr>
            <c:extLst>
              <c:ext xmlns:c16="http://schemas.microsoft.com/office/drawing/2014/chart" uri="{C3380CC4-5D6E-409C-BE32-E72D297353CC}">
                <c16:uniqueId val="{00000001-CBC6-4660-ADA6-1E1DD54C47FB}"/>
              </c:ext>
            </c:extLst>
          </c:dPt>
          <c:dPt>
            <c:idx val="5"/>
            <c:invertIfNegative val="0"/>
            <c:bubble3D val="0"/>
            <c:spPr>
              <a:solidFill>
                <a:schemeClr val="accent4">
                  <a:lumMod val="40000"/>
                  <a:lumOff val="60000"/>
                </a:schemeClr>
              </a:solidFill>
            </c:spPr>
            <c:extLst>
              <c:ext xmlns:c16="http://schemas.microsoft.com/office/drawing/2014/chart" uri="{C3380CC4-5D6E-409C-BE32-E72D297353CC}">
                <c16:uniqueId val="{00000003-CBC6-4660-ADA6-1E1DD54C47FB}"/>
              </c:ext>
            </c:extLst>
          </c:dPt>
          <c:dPt>
            <c:idx val="10"/>
            <c:invertIfNegative val="0"/>
            <c:bubble3D val="0"/>
            <c:spPr>
              <a:solidFill>
                <a:schemeClr val="accent5"/>
              </a:solidFill>
            </c:spPr>
            <c:extLst>
              <c:ext xmlns:c16="http://schemas.microsoft.com/office/drawing/2014/chart" uri="{C3380CC4-5D6E-409C-BE32-E72D297353CC}">
                <c16:uniqueId val="{00000005-CBC6-4660-ADA6-1E1DD54C47FB}"/>
              </c:ext>
            </c:extLst>
          </c:dPt>
          <c:dPt>
            <c:idx val="15"/>
            <c:invertIfNegative val="0"/>
            <c:bubble3D val="0"/>
            <c:spPr>
              <a:solidFill>
                <a:schemeClr val="accent6">
                  <a:lumMod val="75000"/>
                </a:schemeClr>
              </a:solidFill>
            </c:spPr>
            <c:extLst>
              <c:ext xmlns:c16="http://schemas.microsoft.com/office/drawing/2014/chart" uri="{C3380CC4-5D6E-409C-BE32-E72D297353CC}">
                <c16:uniqueId val="{00000007-CBC6-4660-ADA6-1E1DD54C47FB}"/>
              </c:ext>
            </c:extLst>
          </c:dPt>
          <c:dPt>
            <c:idx val="20"/>
            <c:invertIfNegative val="0"/>
            <c:bubble3D val="0"/>
            <c:spPr>
              <a:solidFill>
                <a:schemeClr val="accent4"/>
              </a:solidFill>
            </c:spPr>
            <c:extLst>
              <c:ext xmlns:c16="http://schemas.microsoft.com/office/drawing/2014/chart" uri="{C3380CC4-5D6E-409C-BE32-E72D297353CC}">
                <c16:uniqueId val="{00000009-CBC6-4660-ADA6-1E1DD54C47FB}"/>
              </c:ext>
            </c:extLst>
          </c:dPt>
          <c:dPt>
            <c:idx val="25"/>
            <c:invertIfNegative val="0"/>
            <c:bubble3D val="0"/>
            <c:spPr>
              <a:solidFill>
                <a:schemeClr val="bg1">
                  <a:lumMod val="50000"/>
                </a:schemeClr>
              </a:solidFill>
            </c:spPr>
            <c:extLst>
              <c:ext xmlns:c16="http://schemas.microsoft.com/office/drawing/2014/chart" uri="{C3380CC4-5D6E-409C-BE32-E72D297353CC}">
                <c16:uniqueId val="{0000000B-CBC6-4660-ADA6-1E1DD54C47FB}"/>
              </c:ext>
            </c:extLst>
          </c:dPt>
          <c:dPt>
            <c:idx val="30"/>
            <c:invertIfNegative val="0"/>
            <c:bubble3D val="0"/>
            <c:spPr>
              <a:solidFill>
                <a:srgbClr val="FF0000"/>
              </a:solidFill>
            </c:spPr>
            <c:extLst>
              <c:ext xmlns:c16="http://schemas.microsoft.com/office/drawing/2014/chart" uri="{C3380CC4-5D6E-409C-BE32-E72D297353CC}">
                <c16:uniqueId val="{0000000D-CBC6-4660-ADA6-1E1DD54C47FB}"/>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for UG graph'!$J$3:$CG$3</c:f>
              <c:strCache>
                <c:ptCount val="30"/>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pt idx="28">
                  <c:v>2020</c:v>
                </c:pt>
                <c:pt idx="29">
                  <c:v>2021</c:v>
                </c:pt>
              </c:strCache>
            </c:strRef>
          </c:cat>
          <c:val>
            <c:numRef>
              <c:f>'Data for UG graph'!$J$4:$CG$4</c:f>
              <c:numCache>
                <c:formatCode>??.0</c:formatCode>
                <c:ptCount val="30"/>
                <c:pt idx="0">
                  <c:v>40.1</c:v>
                </c:pt>
                <c:pt idx="1">
                  <c:v>38.299999999999997</c:v>
                </c:pt>
                <c:pt idx="2">
                  <c:v>36.4</c:v>
                </c:pt>
                <c:pt idx="3">
                  <c:v>33.799999999999997</c:v>
                </c:pt>
                <c:pt idx="4">
                  <c:v>32.4</c:v>
                </c:pt>
                <c:pt idx="5">
                  <c:v>55.6</c:v>
                </c:pt>
                <c:pt idx="6">
                  <c:v>52.6</c:v>
                </c:pt>
                <c:pt idx="7">
                  <c:v>50.7</c:v>
                </c:pt>
                <c:pt idx="8">
                  <c:v>52</c:v>
                </c:pt>
                <c:pt idx="9">
                  <c:v>49.1</c:v>
                </c:pt>
                <c:pt idx="10">
                  <c:v>29.2</c:v>
                </c:pt>
                <c:pt idx="11">
                  <c:v>28.5</c:v>
                </c:pt>
                <c:pt idx="12">
                  <c:v>30.5</c:v>
                </c:pt>
                <c:pt idx="13">
                  <c:v>28</c:v>
                </c:pt>
                <c:pt idx="14">
                  <c:v>29.6</c:v>
                </c:pt>
                <c:pt idx="15">
                  <c:v>39.4</c:v>
                </c:pt>
                <c:pt idx="16">
                  <c:v>39.299999999999997</c:v>
                </c:pt>
                <c:pt idx="17">
                  <c:v>36.9</c:v>
                </c:pt>
                <c:pt idx="18">
                  <c:v>34.9</c:v>
                </c:pt>
                <c:pt idx="19">
                  <c:v>35.200000000000003</c:v>
                </c:pt>
                <c:pt idx="20">
                  <c:v>41.2</c:v>
                </c:pt>
                <c:pt idx="21">
                  <c:v>38.200000000000003</c:v>
                </c:pt>
                <c:pt idx="22">
                  <c:v>35.9</c:v>
                </c:pt>
                <c:pt idx="23">
                  <c:v>35</c:v>
                </c:pt>
                <c:pt idx="24">
                  <c:v>34.9</c:v>
                </c:pt>
                <c:pt idx="25">
                  <c:v>38.6</c:v>
                </c:pt>
                <c:pt idx="26">
                  <c:v>38.5</c:v>
                </c:pt>
                <c:pt idx="27">
                  <c:v>37.4</c:v>
                </c:pt>
                <c:pt idx="28">
                  <c:v>36.200000000000003</c:v>
                </c:pt>
                <c:pt idx="29">
                  <c:v>36.700000000000003</c:v>
                </c:pt>
              </c:numCache>
            </c:numRef>
          </c:val>
          <c:extLst>
            <c:ext xmlns:c16="http://schemas.microsoft.com/office/drawing/2014/chart" uri="{C3380CC4-5D6E-409C-BE32-E72D297353CC}">
              <c16:uniqueId val="{0000000E-CBC6-4660-ADA6-1E1DD54C47FB}"/>
            </c:ext>
          </c:extLst>
        </c:ser>
        <c:dLbls>
          <c:showLegendKey val="0"/>
          <c:showVal val="0"/>
          <c:showCatName val="0"/>
          <c:showSerName val="0"/>
          <c:showPercent val="0"/>
          <c:showBubbleSize val="0"/>
        </c:dLbls>
        <c:gapWidth val="20"/>
        <c:axId val="251781448"/>
        <c:axId val="251781840"/>
      </c:barChart>
      <c:lineChart>
        <c:grouping val="standard"/>
        <c:varyColors val="0"/>
        <c:ser>
          <c:idx val="1"/>
          <c:order val="1"/>
          <c:tx>
            <c:strRef>
              <c:f>'Data for UG graph'!$A$5</c:f>
              <c:strCache>
                <c:ptCount val="1"/>
                <c:pt idx="0">
                  <c:v>Five year Ave</c:v>
                </c:pt>
              </c:strCache>
            </c:strRef>
          </c:tx>
          <c:spPr>
            <a:ln w="28575">
              <a:solidFill>
                <a:schemeClr val="accent6">
                  <a:lumMod val="75000"/>
                </a:schemeClr>
              </a:solidFill>
              <a:prstDash val="solid"/>
            </a:ln>
          </c:spPr>
          <c:marker>
            <c:symbol val="none"/>
          </c:marker>
          <c:cat>
            <c:strRef>
              <c:f>'Data for UG graph'!$J$3:$CG$3</c:f>
              <c:strCache>
                <c:ptCount val="30"/>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pt idx="28">
                  <c:v>2020</c:v>
                </c:pt>
                <c:pt idx="29">
                  <c:v>2021</c:v>
                </c:pt>
              </c:strCache>
            </c:strRef>
          </c:cat>
          <c:val>
            <c:numRef>
              <c:f>'Data for UG graph'!$J$5:$CG$5</c:f>
              <c:numCache>
                <c:formatCode>??.0</c:formatCode>
                <c:ptCount val="30"/>
                <c:pt idx="0">
                  <c:v>39.92</c:v>
                </c:pt>
                <c:pt idx="1">
                  <c:v>39.760000000000005</c:v>
                </c:pt>
                <c:pt idx="2">
                  <c:v>39.08</c:v>
                </c:pt>
                <c:pt idx="3">
                  <c:v>37.719999999999992</c:v>
                </c:pt>
                <c:pt idx="4">
                  <c:v>36.200000000000003</c:v>
                </c:pt>
                <c:pt idx="5">
                  <c:v>55.120000000000005</c:v>
                </c:pt>
                <c:pt idx="6">
                  <c:v>54.320000000000007</c:v>
                </c:pt>
                <c:pt idx="7">
                  <c:v>53.7</c:v>
                </c:pt>
                <c:pt idx="8">
                  <c:v>53.160000000000004</c:v>
                </c:pt>
                <c:pt idx="9">
                  <c:v>52</c:v>
                </c:pt>
                <c:pt idx="10">
                  <c:v>30.2</c:v>
                </c:pt>
                <c:pt idx="11">
                  <c:v>29.82</c:v>
                </c:pt>
                <c:pt idx="12">
                  <c:v>29.439999999999998</c:v>
                </c:pt>
                <c:pt idx="13">
                  <c:v>29.1</c:v>
                </c:pt>
                <c:pt idx="14">
                  <c:v>29.160000000000004</c:v>
                </c:pt>
                <c:pt idx="15">
                  <c:v>39.840000000000003</c:v>
                </c:pt>
                <c:pt idx="16">
                  <c:v>40.160000000000004</c:v>
                </c:pt>
                <c:pt idx="17">
                  <c:v>39.000000000000007</c:v>
                </c:pt>
                <c:pt idx="18">
                  <c:v>38.019999999999996</c:v>
                </c:pt>
                <c:pt idx="19">
                  <c:v>37.14</c:v>
                </c:pt>
                <c:pt idx="20">
                  <c:v>44.04</c:v>
                </c:pt>
                <c:pt idx="21">
                  <c:v>42.719999999999992</c:v>
                </c:pt>
                <c:pt idx="22">
                  <c:v>40.76</c:v>
                </c:pt>
                <c:pt idx="23">
                  <c:v>38.78</c:v>
                </c:pt>
                <c:pt idx="24">
                  <c:v>37.040000000000006</c:v>
                </c:pt>
                <c:pt idx="25">
                  <c:v>38.159999999999997</c:v>
                </c:pt>
                <c:pt idx="26">
                  <c:v>38.380000000000003</c:v>
                </c:pt>
                <c:pt idx="27">
                  <c:v>38.299999999999997</c:v>
                </c:pt>
                <c:pt idx="28">
                  <c:v>37.949999999999996</c:v>
                </c:pt>
                <c:pt idx="29">
                  <c:v>37.716666666666669</c:v>
                </c:pt>
              </c:numCache>
            </c:numRef>
          </c:val>
          <c:smooth val="0"/>
          <c:extLst>
            <c:ext xmlns:c16="http://schemas.microsoft.com/office/drawing/2014/chart" uri="{C3380CC4-5D6E-409C-BE32-E72D297353CC}">
              <c16:uniqueId val="{0000000E-EADC-495C-806C-B0735B8E67F5}"/>
            </c:ext>
          </c:extLst>
        </c:ser>
        <c:dLbls>
          <c:showLegendKey val="0"/>
          <c:showVal val="0"/>
          <c:showCatName val="0"/>
          <c:showSerName val="0"/>
          <c:showPercent val="0"/>
          <c:showBubbleSize val="0"/>
        </c:dLbls>
        <c:marker val="1"/>
        <c:smooth val="0"/>
        <c:axId val="251781448"/>
        <c:axId val="251781840"/>
      </c:lineChart>
      <c:catAx>
        <c:axId val="251781448"/>
        <c:scaling>
          <c:orientation val="minMax"/>
        </c:scaling>
        <c:delete val="0"/>
        <c:axPos val="b"/>
        <c:numFmt formatCode="General" sourceLinked="1"/>
        <c:majorTickMark val="none"/>
        <c:minorTickMark val="none"/>
        <c:tickLblPos val="nextTo"/>
        <c:spPr>
          <a:ln>
            <a:solidFill>
              <a:schemeClr val="tx1"/>
            </a:solidFill>
          </a:ln>
        </c:spPr>
        <c:txPr>
          <a:bodyPr/>
          <a:lstStyle/>
          <a:p>
            <a:pPr>
              <a:defRPr sz="800" b="1">
                <a:latin typeface="Univers 45 Light" pitchFamily="34" charset="0"/>
              </a:defRPr>
            </a:pPr>
            <a:endParaRPr lang="en-US"/>
          </a:p>
        </c:txPr>
        <c:crossAx val="251781840"/>
        <c:crosses val="autoZero"/>
        <c:auto val="0"/>
        <c:lblAlgn val="ctr"/>
        <c:lblOffset val="100"/>
        <c:noMultiLvlLbl val="0"/>
      </c:catAx>
      <c:valAx>
        <c:axId val="251781840"/>
        <c:scaling>
          <c:orientation val="minMax"/>
        </c:scaling>
        <c:delete val="0"/>
        <c:axPos val="l"/>
        <c:numFmt formatCode="??" sourceLinked="0"/>
        <c:majorTickMark val="out"/>
        <c:minorTickMark val="none"/>
        <c:tickLblPos val="nextTo"/>
        <c:txPr>
          <a:bodyPr/>
          <a:lstStyle/>
          <a:p>
            <a:pPr>
              <a:defRPr sz="800" b="1">
                <a:latin typeface="Univers 45 Light" pitchFamily="34" charset="0"/>
              </a:defRPr>
            </a:pPr>
            <a:endParaRPr lang="en-US"/>
          </a:p>
        </c:txPr>
        <c:crossAx val="251781448"/>
        <c:crosses val="autoZero"/>
        <c:crossBetween val="between"/>
      </c:valAx>
    </c:plotArea>
    <c:plotVisOnly val="1"/>
    <c:dispBlanksAs val="gap"/>
    <c:showDLblsOverMax val="0"/>
  </c:chart>
  <c:printSettings>
    <c:headerFooter/>
    <c:pageMargins b="0.75" l="0.7" r="0.7" t="0.75" header="0.3" footer="0.3"/>
    <c:pageSetup orientation="landscape" horizontalDpi="-3" vertic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Univers LT Std 45 Light" panose="020B0703030502020204" pitchFamily="34" charset="0"/>
                <a:ea typeface="+mn-ea"/>
                <a:cs typeface="+mn-cs"/>
              </a:defRPr>
            </a:pPr>
            <a:r>
              <a:rPr lang="en-US" sz="1800"/>
              <a:t>Graduate Average Section Size</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Univers LT Std 45 Light" panose="020B0703030502020204" pitchFamily="34" charset="0"/>
              <a:ea typeface="+mn-ea"/>
              <a:cs typeface="+mn-cs"/>
            </a:defRPr>
          </a:pPr>
          <a:endParaRPr lang="en-US"/>
        </a:p>
      </c:txPr>
    </c:title>
    <c:autoTitleDeleted val="0"/>
    <c:plotArea>
      <c:layout>
        <c:manualLayout>
          <c:layoutTarget val="inner"/>
          <c:xMode val="edge"/>
          <c:yMode val="edge"/>
          <c:x val="6.8344533856344883E-2"/>
          <c:y val="0.12666671046007003"/>
          <c:w val="0.91822445271264164"/>
          <c:h val="0.72098104418175701"/>
        </c:manualLayout>
      </c:layout>
      <c:barChart>
        <c:barDir val="col"/>
        <c:grouping val="clustered"/>
        <c:varyColors val="0"/>
        <c:ser>
          <c:idx val="0"/>
          <c:order val="0"/>
          <c:tx>
            <c:strRef>
              <c:f>'Data for Grad Graph'!$A$5</c:f>
              <c:strCache>
                <c:ptCount val="1"/>
                <c:pt idx="0">
                  <c:v>Graduate Average Section Size</c:v>
                </c:pt>
              </c:strCache>
            </c:strRef>
          </c:tx>
          <c:spPr>
            <a:solidFill>
              <a:schemeClr val="accent1"/>
            </a:solidFill>
            <a:ln>
              <a:noFill/>
            </a:ln>
            <a:effectLst/>
          </c:spPr>
          <c:invertIfNegative val="0"/>
          <c:dPt>
            <c:idx val="0"/>
            <c:invertIfNegative val="0"/>
            <c:bubble3D val="0"/>
            <c:spPr>
              <a:solidFill>
                <a:srgbClr val="076D54"/>
              </a:solidFill>
              <a:ln>
                <a:noFill/>
              </a:ln>
              <a:effectLst/>
            </c:spPr>
            <c:extLst>
              <c:ext xmlns:c16="http://schemas.microsoft.com/office/drawing/2014/chart" uri="{C3380CC4-5D6E-409C-BE32-E72D297353CC}">
                <c16:uniqueId val="{0000000A-80B2-4EF5-ADED-F00C1A7D823B}"/>
              </c:ext>
            </c:extLst>
          </c:dPt>
          <c:dPt>
            <c:idx val="1"/>
            <c:invertIfNegative val="0"/>
            <c:bubble3D val="0"/>
            <c:spPr>
              <a:solidFill>
                <a:srgbClr val="076D54"/>
              </a:solidFill>
              <a:ln>
                <a:noFill/>
              </a:ln>
              <a:effectLst/>
            </c:spPr>
            <c:extLst>
              <c:ext xmlns:c16="http://schemas.microsoft.com/office/drawing/2014/chart" uri="{C3380CC4-5D6E-409C-BE32-E72D297353CC}">
                <c16:uniqueId val="{0000000B-80B2-4EF5-ADED-F00C1A7D823B}"/>
              </c:ext>
            </c:extLst>
          </c:dPt>
          <c:dPt>
            <c:idx val="2"/>
            <c:invertIfNegative val="0"/>
            <c:bubble3D val="0"/>
            <c:spPr>
              <a:solidFill>
                <a:srgbClr val="076D54"/>
              </a:solidFill>
              <a:ln>
                <a:noFill/>
              </a:ln>
              <a:effectLst/>
            </c:spPr>
            <c:extLst>
              <c:ext xmlns:c16="http://schemas.microsoft.com/office/drawing/2014/chart" uri="{C3380CC4-5D6E-409C-BE32-E72D297353CC}">
                <c16:uniqueId val="{0000000C-80B2-4EF5-ADED-F00C1A7D823B}"/>
              </c:ext>
            </c:extLst>
          </c:dPt>
          <c:dPt>
            <c:idx val="3"/>
            <c:invertIfNegative val="0"/>
            <c:bubble3D val="0"/>
            <c:spPr>
              <a:solidFill>
                <a:srgbClr val="076D54"/>
              </a:solidFill>
              <a:ln>
                <a:noFill/>
              </a:ln>
              <a:effectLst/>
            </c:spPr>
            <c:extLst>
              <c:ext xmlns:c16="http://schemas.microsoft.com/office/drawing/2014/chart" uri="{C3380CC4-5D6E-409C-BE32-E72D297353CC}">
                <c16:uniqueId val="{0000000D-80B2-4EF5-ADED-F00C1A7D823B}"/>
              </c:ext>
            </c:extLst>
          </c:dPt>
          <c:dPt>
            <c:idx val="4"/>
            <c:invertIfNegative val="0"/>
            <c:bubble3D val="0"/>
            <c:spPr>
              <a:solidFill>
                <a:srgbClr val="076D54"/>
              </a:solidFill>
              <a:ln>
                <a:noFill/>
              </a:ln>
              <a:effectLst/>
            </c:spPr>
            <c:extLst>
              <c:ext xmlns:c16="http://schemas.microsoft.com/office/drawing/2014/chart" uri="{C3380CC4-5D6E-409C-BE32-E72D297353CC}">
                <c16:uniqueId val="{0000000E-80B2-4EF5-ADED-F00C1A7D823B}"/>
              </c:ext>
            </c:extLst>
          </c:dPt>
          <c:dPt>
            <c:idx val="5"/>
            <c:invertIfNegative val="0"/>
            <c:bubble3D val="0"/>
            <c:spPr>
              <a:solidFill>
                <a:srgbClr val="C4B796"/>
              </a:solidFill>
              <a:ln>
                <a:noFill/>
              </a:ln>
              <a:effectLst/>
            </c:spPr>
            <c:extLst>
              <c:ext xmlns:c16="http://schemas.microsoft.com/office/drawing/2014/chart" uri="{C3380CC4-5D6E-409C-BE32-E72D297353CC}">
                <c16:uniqueId val="{00000014-80B2-4EF5-ADED-F00C1A7D823B}"/>
              </c:ext>
            </c:extLst>
          </c:dPt>
          <c:dPt>
            <c:idx val="6"/>
            <c:invertIfNegative val="0"/>
            <c:bubble3D val="0"/>
            <c:spPr>
              <a:solidFill>
                <a:srgbClr val="C4B796"/>
              </a:solidFill>
              <a:ln>
                <a:noFill/>
              </a:ln>
              <a:effectLst/>
            </c:spPr>
            <c:extLst>
              <c:ext xmlns:c16="http://schemas.microsoft.com/office/drawing/2014/chart" uri="{C3380CC4-5D6E-409C-BE32-E72D297353CC}">
                <c16:uniqueId val="{00000015-80B2-4EF5-ADED-F00C1A7D823B}"/>
              </c:ext>
            </c:extLst>
          </c:dPt>
          <c:dPt>
            <c:idx val="7"/>
            <c:invertIfNegative val="0"/>
            <c:bubble3D val="0"/>
            <c:spPr>
              <a:solidFill>
                <a:srgbClr val="C4B796"/>
              </a:solidFill>
              <a:ln>
                <a:noFill/>
              </a:ln>
              <a:effectLst/>
            </c:spPr>
            <c:extLst>
              <c:ext xmlns:c16="http://schemas.microsoft.com/office/drawing/2014/chart" uri="{C3380CC4-5D6E-409C-BE32-E72D297353CC}">
                <c16:uniqueId val="{00000016-80B2-4EF5-ADED-F00C1A7D823B}"/>
              </c:ext>
            </c:extLst>
          </c:dPt>
          <c:dPt>
            <c:idx val="8"/>
            <c:invertIfNegative val="0"/>
            <c:bubble3D val="0"/>
            <c:spPr>
              <a:solidFill>
                <a:srgbClr val="C4B796"/>
              </a:solidFill>
              <a:ln>
                <a:noFill/>
              </a:ln>
              <a:effectLst/>
            </c:spPr>
            <c:extLst>
              <c:ext xmlns:c16="http://schemas.microsoft.com/office/drawing/2014/chart" uri="{C3380CC4-5D6E-409C-BE32-E72D297353CC}">
                <c16:uniqueId val="{00000017-80B2-4EF5-ADED-F00C1A7D823B}"/>
              </c:ext>
            </c:extLst>
          </c:dPt>
          <c:dPt>
            <c:idx val="9"/>
            <c:invertIfNegative val="0"/>
            <c:bubble3D val="0"/>
            <c:spPr>
              <a:solidFill>
                <a:srgbClr val="C4B796"/>
              </a:solidFill>
              <a:ln>
                <a:noFill/>
              </a:ln>
              <a:effectLst/>
            </c:spPr>
            <c:extLst>
              <c:ext xmlns:c16="http://schemas.microsoft.com/office/drawing/2014/chart" uri="{C3380CC4-5D6E-409C-BE32-E72D297353CC}">
                <c16:uniqueId val="{00000018-80B2-4EF5-ADED-F00C1A7D823B}"/>
              </c:ext>
            </c:extLst>
          </c:dPt>
          <c:dPt>
            <c:idx val="10"/>
            <c:invertIfNegative val="0"/>
            <c:bubble3D val="0"/>
            <c:spPr>
              <a:solidFill>
                <a:srgbClr val="8499A5"/>
              </a:solidFill>
              <a:ln>
                <a:noFill/>
              </a:ln>
              <a:effectLst/>
            </c:spPr>
            <c:extLst>
              <c:ext xmlns:c16="http://schemas.microsoft.com/office/drawing/2014/chart" uri="{C3380CC4-5D6E-409C-BE32-E72D297353CC}">
                <c16:uniqueId val="{0000001B-80B2-4EF5-ADED-F00C1A7D823B}"/>
              </c:ext>
            </c:extLst>
          </c:dPt>
          <c:dPt>
            <c:idx val="11"/>
            <c:invertIfNegative val="0"/>
            <c:bubble3D val="0"/>
            <c:spPr>
              <a:solidFill>
                <a:srgbClr val="8499A5"/>
              </a:solidFill>
              <a:ln>
                <a:noFill/>
              </a:ln>
              <a:effectLst/>
            </c:spPr>
            <c:extLst>
              <c:ext xmlns:c16="http://schemas.microsoft.com/office/drawing/2014/chart" uri="{C3380CC4-5D6E-409C-BE32-E72D297353CC}">
                <c16:uniqueId val="{0000001C-80B2-4EF5-ADED-F00C1A7D823B}"/>
              </c:ext>
            </c:extLst>
          </c:dPt>
          <c:dPt>
            <c:idx val="12"/>
            <c:invertIfNegative val="0"/>
            <c:bubble3D val="0"/>
            <c:spPr>
              <a:solidFill>
                <a:srgbClr val="8499A5"/>
              </a:solidFill>
              <a:ln>
                <a:noFill/>
              </a:ln>
              <a:effectLst/>
            </c:spPr>
            <c:extLst>
              <c:ext xmlns:c16="http://schemas.microsoft.com/office/drawing/2014/chart" uri="{C3380CC4-5D6E-409C-BE32-E72D297353CC}">
                <c16:uniqueId val="{0000001E-80B2-4EF5-ADED-F00C1A7D823B}"/>
              </c:ext>
            </c:extLst>
          </c:dPt>
          <c:dPt>
            <c:idx val="13"/>
            <c:invertIfNegative val="0"/>
            <c:bubble3D val="0"/>
            <c:spPr>
              <a:solidFill>
                <a:srgbClr val="8499A5"/>
              </a:solidFill>
              <a:ln>
                <a:noFill/>
              </a:ln>
              <a:effectLst/>
            </c:spPr>
            <c:extLst>
              <c:ext xmlns:c16="http://schemas.microsoft.com/office/drawing/2014/chart" uri="{C3380CC4-5D6E-409C-BE32-E72D297353CC}">
                <c16:uniqueId val="{0000001D-80B2-4EF5-ADED-F00C1A7D823B}"/>
              </c:ext>
            </c:extLst>
          </c:dPt>
          <c:dPt>
            <c:idx val="14"/>
            <c:invertIfNegative val="0"/>
            <c:bubble3D val="0"/>
            <c:spPr>
              <a:solidFill>
                <a:srgbClr val="8499A5"/>
              </a:solidFill>
              <a:ln>
                <a:noFill/>
              </a:ln>
              <a:effectLst/>
            </c:spPr>
            <c:extLst>
              <c:ext xmlns:c16="http://schemas.microsoft.com/office/drawing/2014/chart" uri="{C3380CC4-5D6E-409C-BE32-E72D297353CC}">
                <c16:uniqueId val="{0000001F-80B2-4EF5-ADED-F00C1A7D823B}"/>
              </c:ext>
            </c:extLst>
          </c:dPt>
          <c:dPt>
            <c:idx val="15"/>
            <c:invertIfNegative val="0"/>
            <c:bubble3D val="0"/>
            <c:spPr>
              <a:solidFill>
                <a:srgbClr val="CE1126"/>
              </a:solidFill>
              <a:ln>
                <a:noFill/>
              </a:ln>
              <a:effectLst/>
            </c:spPr>
            <c:extLst>
              <c:ext xmlns:c16="http://schemas.microsoft.com/office/drawing/2014/chart" uri="{C3380CC4-5D6E-409C-BE32-E72D297353CC}">
                <c16:uniqueId val="{00000025-80B2-4EF5-ADED-F00C1A7D823B}"/>
              </c:ext>
            </c:extLst>
          </c:dPt>
          <c:dPt>
            <c:idx val="16"/>
            <c:invertIfNegative val="0"/>
            <c:bubble3D val="0"/>
            <c:spPr>
              <a:solidFill>
                <a:srgbClr val="CE1126"/>
              </a:solidFill>
              <a:ln>
                <a:noFill/>
              </a:ln>
              <a:effectLst/>
            </c:spPr>
            <c:extLst>
              <c:ext xmlns:c16="http://schemas.microsoft.com/office/drawing/2014/chart" uri="{C3380CC4-5D6E-409C-BE32-E72D297353CC}">
                <c16:uniqueId val="{00000026-80B2-4EF5-ADED-F00C1A7D823B}"/>
              </c:ext>
            </c:extLst>
          </c:dPt>
          <c:dPt>
            <c:idx val="17"/>
            <c:invertIfNegative val="0"/>
            <c:bubble3D val="0"/>
            <c:spPr>
              <a:solidFill>
                <a:srgbClr val="CE1126"/>
              </a:solidFill>
              <a:ln>
                <a:noFill/>
              </a:ln>
              <a:effectLst/>
            </c:spPr>
            <c:extLst>
              <c:ext xmlns:c16="http://schemas.microsoft.com/office/drawing/2014/chart" uri="{C3380CC4-5D6E-409C-BE32-E72D297353CC}">
                <c16:uniqueId val="{00000027-80B2-4EF5-ADED-F00C1A7D823B}"/>
              </c:ext>
            </c:extLst>
          </c:dPt>
          <c:dPt>
            <c:idx val="18"/>
            <c:invertIfNegative val="0"/>
            <c:bubble3D val="0"/>
            <c:spPr>
              <a:solidFill>
                <a:srgbClr val="CE1126"/>
              </a:solidFill>
              <a:ln>
                <a:noFill/>
              </a:ln>
              <a:effectLst/>
            </c:spPr>
            <c:extLst>
              <c:ext xmlns:c16="http://schemas.microsoft.com/office/drawing/2014/chart" uri="{C3380CC4-5D6E-409C-BE32-E72D297353CC}">
                <c16:uniqueId val="{00000028-80B2-4EF5-ADED-F00C1A7D823B}"/>
              </c:ext>
            </c:extLst>
          </c:dPt>
          <c:dPt>
            <c:idx val="19"/>
            <c:invertIfNegative val="0"/>
            <c:bubble3D val="0"/>
            <c:spPr>
              <a:solidFill>
                <a:srgbClr val="CE1126"/>
              </a:solidFill>
              <a:ln>
                <a:noFill/>
              </a:ln>
              <a:effectLst/>
            </c:spPr>
            <c:extLst>
              <c:ext xmlns:c16="http://schemas.microsoft.com/office/drawing/2014/chart" uri="{C3380CC4-5D6E-409C-BE32-E72D297353CC}">
                <c16:uniqueId val="{00000029-80B2-4EF5-ADED-F00C1A7D823B}"/>
              </c:ext>
            </c:extLst>
          </c:dPt>
          <c:dPt>
            <c:idx val="20"/>
            <c:invertIfNegative val="0"/>
            <c:bubble3D val="0"/>
            <c:spPr>
              <a:solidFill>
                <a:srgbClr val="3A75C4"/>
              </a:solidFill>
              <a:ln>
                <a:noFill/>
              </a:ln>
              <a:effectLst/>
            </c:spPr>
            <c:extLst>
              <c:ext xmlns:c16="http://schemas.microsoft.com/office/drawing/2014/chart" uri="{C3380CC4-5D6E-409C-BE32-E72D297353CC}">
                <c16:uniqueId val="{0000002F-80B2-4EF5-ADED-F00C1A7D823B}"/>
              </c:ext>
            </c:extLst>
          </c:dPt>
          <c:dPt>
            <c:idx val="25"/>
            <c:invertIfNegative val="0"/>
            <c:bubble3D val="0"/>
            <c:spPr>
              <a:solidFill>
                <a:srgbClr val="F2BF49"/>
              </a:solidFill>
              <a:ln>
                <a:noFill/>
              </a:ln>
              <a:effectLst/>
            </c:spPr>
            <c:extLst>
              <c:ext xmlns:c16="http://schemas.microsoft.com/office/drawing/2014/chart" uri="{C3380CC4-5D6E-409C-BE32-E72D297353CC}">
                <c16:uniqueId val="{00000033-80B2-4EF5-ADED-F00C1A7D823B}"/>
              </c:ext>
            </c:extLst>
          </c:dPt>
          <c:dPt>
            <c:idx val="26"/>
            <c:invertIfNegative val="0"/>
            <c:bubble3D val="0"/>
            <c:spPr>
              <a:solidFill>
                <a:srgbClr val="F2BF49"/>
              </a:solidFill>
              <a:ln>
                <a:noFill/>
              </a:ln>
              <a:effectLst/>
            </c:spPr>
            <c:extLst>
              <c:ext xmlns:c16="http://schemas.microsoft.com/office/drawing/2014/chart" uri="{C3380CC4-5D6E-409C-BE32-E72D297353CC}">
                <c16:uniqueId val="{00000034-80B2-4EF5-ADED-F00C1A7D823B}"/>
              </c:ext>
            </c:extLst>
          </c:dPt>
          <c:dPt>
            <c:idx val="27"/>
            <c:invertIfNegative val="0"/>
            <c:bubble3D val="0"/>
            <c:spPr>
              <a:solidFill>
                <a:srgbClr val="F2BF49"/>
              </a:solidFill>
              <a:ln>
                <a:noFill/>
              </a:ln>
              <a:effectLst/>
            </c:spPr>
            <c:extLst>
              <c:ext xmlns:c16="http://schemas.microsoft.com/office/drawing/2014/chart" uri="{C3380CC4-5D6E-409C-BE32-E72D297353CC}">
                <c16:uniqueId val="{00000035-80B2-4EF5-ADED-F00C1A7D823B}"/>
              </c:ext>
            </c:extLst>
          </c:dPt>
          <c:dPt>
            <c:idx val="28"/>
            <c:invertIfNegative val="0"/>
            <c:bubble3D val="0"/>
            <c:spPr>
              <a:solidFill>
                <a:srgbClr val="F2BF49"/>
              </a:solidFill>
              <a:ln>
                <a:noFill/>
              </a:ln>
              <a:effectLst/>
            </c:spPr>
            <c:extLst>
              <c:ext xmlns:c16="http://schemas.microsoft.com/office/drawing/2014/chart" uri="{C3380CC4-5D6E-409C-BE32-E72D297353CC}">
                <c16:uniqueId val="{00000036-80B2-4EF5-ADED-F00C1A7D823B}"/>
              </c:ext>
            </c:extLst>
          </c:dPt>
          <c:dPt>
            <c:idx val="29"/>
            <c:invertIfNegative val="0"/>
            <c:bubble3D val="0"/>
            <c:spPr>
              <a:solidFill>
                <a:srgbClr val="F2BF49"/>
              </a:solidFill>
              <a:ln>
                <a:noFill/>
              </a:ln>
              <a:effectLst/>
            </c:spPr>
            <c:extLst>
              <c:ext xmlns:c16="http://schemas.microsoft.com/office/drawing/2014/chart" uri="{C3380CC4-5D6E-409C-BE32-E72D297353CC}">
                <c16:uniqueId val="{00000037-80B2-4EF5-ADED-F00C1A7D823B}"/>
              </c:ext>
            </c:extLst>
          </c:dPt>
          <c:cat>
            <c:multiLvlStrRef>
              <c:f>'Data for Grad Graph'!$B$3:$CA$4</c:f>
              <c:multiLvlStrCache>
                <c:ptCount val="30"/>
                <c:lvl>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pt idx="28">
                    <c:v>2020</c:v>
                  </c:pt>
                  <c:pt idx="29">
                    <c:v>2021</c:v>
                  </c:pt>
                </c:lvl>
                <c:lvl>
                  <c:pt idx="0">
                    <c:v>Ag &amp; Life Sci</c:v>
                  </c:pt>
                  <c:pt idx="5">
                    <c:v> Business</c:v>
                  </c:pt>
                  <c:pt idx="10">
                    <c:v> Design</c:v>
                  </c:pt>
                  <c:pt idx="15">
                    <c:v> Engineering</c:v>
                  </c:pt>
                  <c:pt idx="20">
                    <c:v> Human Sci</c:v>
                  </c:pt>
                  <c:pt idx="25">
                    <c:v>LAS</c:v>
                  </c:pt>
                </c:lvl>
              </c:multiLvlStrCache>
            </c:multiLvlStrRef>
          </c:cat>
          <c:val>
            <c:numRef>
              <c:f>'Data for Grad Graph'!$B$5:$CA$5</c:f>
              <c:numCache>
                <c:formatCode>??.0</c:formatCode>
                <c:ptCount val="30"/>
                <c:pt idx="0">
                  <c:v>9.1999999999999993</c:v>
                </c:pt>
                <c:pt idx="1">
                  <c:v>9.1</c:v>
                </c:pt>
                <c:pt idx="2">
                  <c:v>8.6</c:v>
                </c:pt>
                <c:pt idx="3">
                  <c:v>7.1</c:v>
                </c:pt>
                <c:pt idx="4">
                  <c:v>7.5</c:v>
                </c:pt>
                <c:pt idx="5">
                  <c:v>19.899999999999999</c:v>
                </c:pt>
                <c:pt idx="6">
                  <c:v>17.600000000000001</c:v>
                </c:pt>
                <c:pt idx="7">
                  <c:v>15.3</c:v>
                </c:pt>
                <c:pt idx="8">
                  <c:v>21.1</c:v>
                </c:pt>
                <c:pt idx="9">
                  <c:v>17.8</c:v>
                </c:pt>
                <c:pt idx="10">
                  <c:v>9.6999999999999993</c:v>
                </c:pt>
                <c:pt idx="11">
                  <c:v>9.1</c:v>
                </c:pt>
                <c:pt idx="12">
                  <c:v>9</c:v>
                </c:pt>
                <c:pt idx="13">
                  <c:v>7.7</c:v>
                </c:pt>
                <c:pt idx="14">
                  <c:v>9.1999999999999993</c:v>
                </c:pt>
                <c:pt idx="15">
                  <c:v>17.2</c:v>
                </c:pt>
                <c:pt idx="16">
                  <c:v>15.6</c:v>
                </c:pt>
                <c:pt idx="17">
                  <c:v>13.4</c:v>
                </c:pt>
                <c:pt idx="18">
                  <c:v>10.6</c:v>
                </c:pt>
                <c:pt idx="19">
                  <c:v>11.5</c:v>
                </c:pt>
                <c:pt idx="20">
                  <c:v>7.8</c:v>
                </c:pt>
                <c:pt idx="21">
                  <c:v>8.3000000000000007</c:v>
                </c:pt>
                <c:pt idx="22">
                  <c:v>7.9</c:v>
                </c:pt>
                <c:pt idx="23">
                  <c:v>7.9</c:v>
                </c:pt>
                <c:pt idx="24">
                  <c:v>8.1999999999999993</c:v>
                </c:pt>
                <c:pt idx="25">
                  <c:v>14.8</c:v>
                </c:pt>
                <c:pt idx="26">
                  <c:v>14.1</c:v>
                </c:pt>
                <c:pt idx="27">
                  <c:v>14.3</c:v>
                </c:pt>
                <c:pt idx="28">
                  <c:v>12.4</c:v>
                </c:pt>
                <c:pt idx="29">
                  <c:v>14</c:v>
                </c:pt>
              </c:numCache>
            </c:numRef>
          </c:val>
          <c:extLst>
            <c:ext xmlns:c16="http://schemas.microsoft.com/office/drawing/2014/chart" uri="{C3380CC4-5D6E-409C-BE32-E72D297353CC}">
              <c16:uniqueId val="{00000000-80B2-4EF5-ADED-F00C1A7D823B}"/>
            </c:ext>
          </c:extLst>
        </c:ser>
        <c:dLbls>
          <c:showLegendKey val="0"/>
          <c:showVal val="0"/>
          <c:showCatName val="0"/>
          <c:showSerName val="0"/>
          <c:showPercent val="0"/>
          <c:showBubbleSize val="0"/>
        </c:dLbls>
        <c:gapWidth val="23"/>
        <c:overlap val="-27"/>
        <c:axId val="871030120"/>
        <c:axId val="871036680"/>
      </c:barChart>
      <c:lineChart>
        <c:grouping val="standard"/>
        <c:varyColors val="0"/>
        <c:dLbls>
          <c:showLegendKey val="0"/>
          <c:showVal val="0"/>
          <c:showCatName val="0"/>
          <c:showSerName val="0"/>
          <c:showPercent val="0"/>
          <c:showBubbleSize val="0"/>
        </c:dLbls>
        <c:marker val="1"/>
        <c:smooth val="0"/>
        <c:axId val="871030120"/>
        <c:axId val="871036680"/>
        <c:extLst>
          <c:ext xmlns:c15="http://schemas.microsoft.com/office/drawing/2012/chart" uri="{02D57815-91ED-43cb-92C2-25804820EDAC}">
            <c15:filteredLineSeries>
              <c15:ser>
                <c:idx val="1"/>
                <c:order val="1"/>
                <c:tx>
                  <c:strRef>
                    <c:extLst>
                      <c:ext uri="{02D57815-91ED-43cb-92C2-25804820EDAC}">
                        <c15:formulaRef>
                          <c15:sqref>'Data for Grad Graph'!$A$6</c15:sqref>
                        </c15:formulaRef>
                      </c:ext>
                    </c:extLst>
                    <c:strCache>
                      <c:ptCount val="1"/>
                      <c:pt idx="0">
                        <c:v>Five-year Rolling Average</c:v>
                      </c:pt>
                    </c:strCache>
                  </c:strRef>
                </c:tx>
                <c:spPr>
                  <a:ln w="28575" cap="rnd">
                    <a:solidFill>
                      <a:schemeClr val="accent2"/>
                    </a:solidFill>
                    <a:round/>
                  </a:ln>
                  <a:effectLst/>
                </c:spPr>
                <c:marker>
                  <c:symbol val="none"/>
                </c:marker>
                <c:cat>
                  <c:multiLvlStrRef>
                    <c:extLst>
                      <c:ext uri="{02D57815-91ED-43cb-92C2-25804820EDAC}">
                        <c15:formulaRef>
                          <c15:sqref>'Data for Grad Graph'!$B$3:$CA$4</c15:sqref>
                        </c15:formulaRef>
                      </c:ext>
                    </c:extLst>
                    <c:multiLvlStrCache>
                      <c:ptCount val="30"/>
                      <c:lvl>
                        <c:pt idx="0">
                          <c:v>2017</c:v>
                        </c:pt>
                        <c:pt idx="1">
                          <c:v>2018</c:v>
                        </c:pt>
                        <c:pt idx="2">
                          <c:v>2019</c:v>
                        </c:pt>
                        <c:pt idx="3">
                          <c:v>2020</c:v>
                        </c:pt>
                        <c:pt idx="4">
                          <c:v>2021</c:v>
                        </c:pt>
                        <c:pt idx="5">
                          <c:v>2017</c:v>
                        </c:pt>
                        <c:pt idx="6">
                          <c:v>2018</c:v>
                        </c:pt>
                        <c:pt idx="7">
                          <c:v>2019</c:v>
                        </c:pt>
                        <c:pt idx="8">
                          <c:v>2020</c:v>
                        </c:pt>
                        <c:pt idx="9">
                          <c:v>2021</c:v>
                        </c:pt>
                        <c:pt idx="10">
                          <c:v>2017</c:v>
                        </c:pt>
                        <c:pt idx="11">
                          <c:v>2018</c:v>
                        </c:pt>
                        <c:pt idx="12">
                          <c:v>2019</c:v>
                        </c:pt>
                        <c:pt idx="13">
                          <c:v>2020</c:v>
                        </c:pt>
                        <c:pt idx="14">
                          <c:v>2021</c:v>
                        </c:pt>
                        <c:pt idx="15">
                          <c:v>2017</c:v>
                        </c:pt>
                        <c:pt idx="16">
                          <c:v>2018</c:v>
                        </c:pt>
                        <c:pt idx="17">
                          <c:v>2019</c:v>
                        </c:pt>
                        <c:pt idx="18">
                          <c:v>2020</c:v>
                        </c:pt>
                        <c:pt idx="19">
                          <c:v>2021</c:v>
                        </c:pt>
                        <c:pt idx="20">
                          <c:v>2017</c:v>
                        </c:pt>
                        <c:pt idx="21">
                          <c:v>2018</c:v>
                        </c:pt>
                        <c:pt idx="22">
                          <c:v>2019</c:v>
                        </c:pt>
                        <c:pt idx="23">
                          <c:v>2020</c:v>
                        </c:pt>
                        <c:pt idx="24">
                          <c:v>2021</c:v>
                        </c:pt>
                        <c:pt idx="25">
                          <c:v>2017</c:v>
                        </c:pt>
                        <c:pt idx="26">
                          <c:v>2018</c:v>
                        </c:pt>
                        <c:pt idx="27">
                          <c:v>2019</c:v>
                        </c:pt>
                        <c:pt idx="28">
                          <c:v>2020</c:v>
                        </c:pt>
                        <c:pt idx="29">
                          <c:v>2021</c:v>
                        </c:pt>
                      </c:lvl>
                      <c:lvl>
                        <c:pt idx="0">
                          <c:v>Ag &amp; Life Sci</c:v>
                        </c:pt>
                        <c:pt idx="5">
                          <c:v> Business</c:v>
                        </c:pt>
                        <c:pt idx="10">
                          <c:v> Design</c:v>
                        </c:pt>
                        <c:pt idx="15">
                          <c:v> Engineering</c:v>
                        </c:pt>
                        <c:pt idx="20">
                          <c:v> Human Sci</c:v>
                        </c:pt>
                        <c:pt idx="25">
                          <c:v>LAS</c:v>
                        </c:pt>
                      </c:lvl>
                    </c:multiLvlStrCache>
                  </c:multiLvlStrRef>
                </c:cat>
                <c:val>
                  <c:numRef>
                    <c:extLst>
                      <c:ext uri="{02D57815-91ED-43cb-92C2-25804820EDAC}">
                        <c15:formulaRef>
                          <c15:sqref>'Data for Grad Graph'!$B$6:$CA$6</c15:sqref>
                        </c15:formulaRef>
                      </c:ext>
                    </c:extLst>
                    <c:numCache>
                      <c:formatCode>??.0</c:formatCode>
                      <c:ptCount val="30"/>
                      <c:pt idx="0">
                        <c:v>10.3</c:v>
                      </c:pt>
                      <c:pt idx="1">
                        <c:v>9.9600000000000009</c:v>
                      </c:pt>
                      <c:pt idx="2">
                        <c:v>9.4599999999999991</c:v>
                      </c:pt>
                      <c:pt idx="3">
                        <c:v>8.92</c:v>
                      </c:pt>
                      <c:pt idx="4">
                        <c:v>8.3000000000000007</c:v>
                      </c:pt>
                      <c:pt idx="5">
                        <c:v>21.139999999999997</c:v>
                      </c:pt>
                      <c:pt idx="6">
                        <c:v>20.659999999999997</c:v>
                      </c:pt>
                      <c:pt idx="7">
                        <c:v>18.86</c:v>
                      </c:pt>
                      <c:pt idx="8">
                        <c:v>18.72</c:v>
                      </c:pt>
                      <c:pt idx="9">
                        <c:v>18.34</c:v>
                      </c:pt>
                      <c:pt idx="10">
                        <c:v>9.48</c:v>
                      </c:pt>
                      <c:pt idx="11">
                        <c:v>9.5</c:v>
                      </c:pt>
                      <c:pt idx="12">
                        <c:v>9.1999999999999993</c:v>
                      </c:pt>
                      <c:pt idx="13">
                        <c:v>8.8000000000000007</c:v>
                      </c:pt>
                      <c:pt idx="14">
                        <c:v>8.9400000000000013</c:v>
                      </c:pt>
                      <c:pt idx="15">
                        <c:v>16.16</c:v>
                      </c:pt>
                      <c:pt idx="16">
                        <c:v>16.36</c:v>
                      </c:pt>
                      <c:pt idx="17">
                        <c:v>15.719999999999999</c:v>
                      </c:pt>
                      <c:pt idx="18">
                        <c:v>14.540000000000001</c:v>
                      </c:pt>
                      <c:pt idx="19">
                        <c:v>13.66</c:v>
                      </c:pt>
                      <c:pt idx="20">
                        <c:v>9</c:v>
                      </c:pt>
                      <c:pt idx="21">
                        <c:v>8.7800000000000011</c:v>
                      </c:pt>
                      <c:pt idx="22">
                        <c:v>8.18</c:v>
                      </c:pt>
                      <c:pt idx="23">
                        <c:v>8.08</c:v>
                      </c:pt>
                      <c:pt idx="24">
                        <c:v>8.02</c:v>
                      </c:pt>
                      <c:pt idx="25">
                        <c:v>13.86</c:v>
                      </c:pt>
                      <c:pt idx="26">
                        <c:v>14.2</c:v>
                      </c:pt>
                      <c:pt idx="27">
                        <c:v>14.3</c:v>
                      </c:pt>
                      <c:pt idx="28">
                        <c:v>13.88</c:v>
                      </c:pt>
                      <c:pt idx="29">
                        <c:v>13.919999999999998</c:v>
                      </c:pt>
                    </c:numCache>
                  </c:numRef>
                </c:val>
                <c:smooth val="0"/>
                <c:extLst>
                  <c:ext xmlns:c16="http://schemas.microsoft.com/office/drawing/2014/chart" uri="{C3380CC4-5D6E-409C-BE32-E72D297353CC}">
                    <c16:uniqueId val="{00000001-80B2-4EF5-ADED-F00C1A7D823B}"/>
                  </c:ext>
                </c:extLst>
              </c15:ser>
            </c15:filteredLineSeries>
          </c:ext>
        </c:extLst>
      </c:lineChart>
      <c:catAx>
        <c:axId val="871030120"/>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Univers LT Std 45 Light" panose="020B0703030502020204" pitchFamily="34" charset="0"/>
                <a:ea typeface="+mn-ea"/>
                <a:cs typeface="+mn-cs"/>
              </a:defRPr>
            </a:pPr>
            <a:endParaRPr lang="en-US"/>
          </a:p>
        </c:txPr>
        <c:crossAx val="871036680"/>
        <c:crosses val="autoZero"/>
        <c:auto val="1"/>
        <c:lblAlgn val="ctr"/>
        <c:lblOffset val="100"/>
        <c:noMultiLvlLbl val="0"/>
      </c:catAx>
      <c:valAx>
        <c:axId val="871036680"/>
        <c:scaling>
          <c:orientation val="minMax"/>
          <c:max val="2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Univers LT Std 45 Light" panose="020B0703030502020204" pitchFamily="34" charset="0"/>
                    <a:ea typeface="+mn-ea"/>
                    <a:cs typeface="+mn-cs"/>
                  </a:defRPr>
                </a:pPr>
                <a:r>
                  <a:rPr lang="en-US" sz="1200">
                    <a:solidFill>
                      <a:sysClr val="windowText" lastClr="000000"/>
                    </a:solidFill>
                  </a:rPr>
                  <a:t>NUMBER</a:t>
                </a:r>
                <a:r>
                  <a:rPr lang="en-US" sz="1200" baseline="0">
                    <a:solidFill>
                      <a:sysClr val="windowText" lastClr="000000"/>
                    </a:solidFill>
                  </a:rPr>
                  <a:t> OF STUDENTS</a:t>
                </a:r>
                <a:endParaRPr lang="en-US" sz="1200">
                  <a:solidFill>
                    <a:sysClr val="windowText" lastClr="000000"/>
                  </a:solidFill>
                </a:endParaRPr>
              </a:p>
            </c:rich>
          </c:tx>
          <c:layout>
            <c:manualLayout>
              <c:xMode val="edge"/>
              <c:yMode val="edge"/>
              <c:x val="0"/>
              <c:y val="0.282896548876488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Univers LT Std 45 Light" panose="020B0703030502020204" pitchFamily="34" charset="0"/>
                  <a:ea typeface="+mn-ea"/>
                  <a:cs typeface="+mn-cs"/>
                </a:defRPr>
              </a:pPr>
              <a:endParaRPr lang="en-US"/>
            </a:p>
          </c:txPr>
        </c:title>
        <c:numFmt formatCode="??"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Univers LT Std 45 Light" panose="020B0703030502020204" pitchFamily="34" charset="0"/>
                <a:ea typeface="+mn-ea"/>
                <a:cs typeface="+mn-cs"/>
              </a:defRPr>
            </a:pPr>
            <a:endParaRPr lang="en-US"/>
          </a:p>
        </c:txPr>
        <c:crossAx val="871030120"/>
        <c:crosses val="autoZero"/>
        <c:crossBetween val="between"/>
        <c:majorUnit val="5"/>
        <c:minorUnit val="1"/>
      </c:valAx>
      <c:spPr>
        <a:noFill/>
        <a:ln>
          <a:noFill/>
        </a:ln>
        <a:effectLst/>
      </c:spPr>
    </c:plotArea>
    <c:legend>
      <c:legendPos val="b"/>
      <c:legendEntry>
        <c:idx val="0"/>
        <c:delete val="1"/>
      </c:legendEntry>
      <c:layout>
        <c:manualLayout>
          <c:xMode val="edge"/>
          <c:yMode val="edge"/>
          <c:x val="0.42234960629921259"/>
          <c:y val="0.10353792829361977"/>
          <c:w val="0"/>
          <c:h val="1.7877092875016598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Univers LT Std 45 Light" panose="020B07030305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b="1">
          <a:latin typeface="Univers LT Std 45 Light" panose="020B0703030502020204"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Keep1!$D$31</c:f>
              <c:strCache>
                <c:ptCount val="1"/>
                <c:pt idx="0">
                  <c:v>Ugrad</c:v>
                </c:pt>
              </c:strCache>
            </c:strRef>
          </c:tx>
          <c:invertIfNegative val="0"/>
          <c:cat>
            <c:multiLvlStrRef>
              <c:f>Keep1!$E$29:$AQ$30</c:f>
              <c:multiLvlStrCache>
                <c:ptCount val="39"/>
                <c:lvl>
                  <c:pt idx="0">
                    <c:v>CALS</c:v>
                  </c:pt>
                  <c:pt idx="1">
                    <c:v>BUS</c:v>
                  </c:pt>
                  <c:pt idx="2">
                    <c:v>DSN</c:v>
                  </c:pt>
                  <c:pt idx="3">
                    <c:v>ENGR</c:v>
                  </c:pt>
                  <c:pt idx="4">
                    <c:v>HS</c:v>
                  </c:pt>
                  <c:pt idx="5">
                    <c:v>LAS</c:v>
                  </c:pt>
                  <c:pt idx="6">
                    <c:v>ISU</c:v>
                  </c:pt>
                  <c:pt idx="8">
                    <c:v>CALS</c:v>
                  </c:pt>
                  <c:pt idx="9">
                    <c:v>BUS</c:v>
                  </c:pt>
                  <c:pt idx="10">
                    <c:v>DSN</c:v>
                  </c:pt>
                  <c:pt idx="11">
                    <c:v>ENGR</c:v>
                  </c:pt>
                  <c:pt idx="12">
                    <c:v>HS</c:v>
                  </c:pt>
                  <c:pt idx="13">
                    <c:v>LAS</c:v>
                  </c:pt>
                  <c:pt idx="14">
                    <c:v>ISU</c:v>
                  </c:pt>
                  <c:pt idx="16">
                    <c:v>CALS</c:v>
                  </c:pt>
                  <c:pt idx="17">
                    <c:v>BUS</c:v>
                  </c:pt>
                  <c:pt idx="18">
                    <c:v>DSN</c:v>
                  </c:pt>
                  <c:pt idx="19">
                    <c:v>ENGR</c:v>
                  </c:pt>
                  <c:pt idx="20">
                    <c:v>HS</c:v>
                  </c:pt>
                  <c:pt idx="21">
                    <c:v>LAS</c:v>
                  </c:pt>
                  <c:pt idx="22">
                    <c:v>ISU</c:v>
                  </c:pt>
                  <c:pt idx="24">
                    <c:v>CALS</c:v>
                  </c:pt>
                  <c:pt idx="25">
                    <c:v>BUS</c:v>
                  </c:pt>
                  <c:pt idx="26">
                    <c:v>DSN</c:v>
                  </c:pt>
                  <c:pt idx="27">
                    <c:v>ENGR</c:v>
                  </c:pt>
                  <c:pt idx="28">
                    <c:v>HS</c:v>
                  </c:pt>
                  <c:pt idx="29">
                    <c:v>LAS</c:v>
                  </c:pt>
                  <c:pt idx="30">
                    <c:v>ISU</c:v>
                  </c:pt>
                  <c:pt idx="32">
                    <c:v>CALS</c:v>
                  </c:pt>
                  <c:pt idx="33">
                    <c:v>BUS</c:v>
                  </c:pt>
                  <c:pt idx="34">
                    <c:v>DSN</c:v>
                  </c:pt>
                  <c:pt idx="35">
                    <c:v>ENGR</c:v>
                  </c:pt>
                  <c:pt idx="36">
                    <c:v>HS</c:v>
                  </c:pt>
                  <c:pt idx="37">
                    <c:v>LAS</c:v>
                  </c:pt>
                  <c:pt idx="38">
                    <c:v>ISU</c:v>
                  </c:pt>
                </c:lvl>
                <c:lvl>
                  <c:pt idx="0">
                    <c:v>2008</c:v>
                  </c:pt>
                  <c:pt idx="8">
                    <c:v>2009</c:v>
                  </c:pt>
                  <c:pt idx="16">
                    <c:v>2010</c:v>
                  </c:pt>
                  <c:pt idx="24">
                    <c:v>2011</c:v>
                  </c:pt>
                  <c:pt idx="32">
                    <c:v>2012</c:v>
                  </c:pt>
                </c:lvl>
              </c:multiLvlStrCache>
            </c:multiLvlStrRef>
          </c:cat>
          <c:val>
            <c:numRef>
              <c:f>Keep1!$E$31:$AQ$31</c:f>
              <c:numCache>
                <c:formatCode>??.0</c:formatCode>
                <c:ptCount val="39"/>
                <c:pt idx="0">
                  <c:v>31.8</c:v>
                </c:pt>
                <c:pt idx="1">
                  <c:v>68.900000000000006</c:v>
                </c:pt>
                <c:pt idx="2">
                  <c:v>27.4</c:v>
                </c:pt>
                <c:pt idx="3">
                  <c:v>30.8</c:v>
                </c:pt>
                <c:pt idx="4">
                  <c:v>33.799999999999997</c:v>
                </c:pt>
                <c:pt idx="5">
                  <c:v>35.700000000000003</c:v>
                </c:pt>
                <c:pt idx="6">
                  <c:v>35.1</c:v>
                </c:pt>
                <c:pt idx="8">
                  <c:v>32.9</c:v>
                </c:pt>
                <c:pt idx="9">
                  <c:v>63.7</c:v>
                </c:pt>
                <c:pt idx="10">
                  <c:v>31</c:v>
                </c:pt>
                <c:pt idx="11">
                  <c:v>33.299999999999997</c:v>
                </c:pt>
                <c:pt idx="12">
                  <c:v>32.799999999999997</c:v>
                </c:pt>
                <c:pt idx="13">
                  <c:v>36.9</c:v>
                </c:pt>
                <c:pt idx="14">
                  <c:v>36.299999999999997</c:v>
                </c:pt>
                <c:pt idx="16">
                  <c:v>35.6</c:v>
                </c:pt>
                <c:pt idx="17">
                  <c:v>56.2</c:v>
                </c:pt>
                <c:pt idx="18">
                  <c:v>30.7</c:v>
                </c:pt>
                <c:pt idx="19">
                  <c:v>34.9</c:v>
                </c:pt>
                <c:pt idx="20">
                  <c:v>35.299999999999997</c:v>
                </c:pt>
                <c:pt idx="21">
                  <c:v>36</c:v>
                </c:pt>
                <c:pt idx="22">
                  <c:v>36.4</c:v>
                </c:pt>
                <c:pt idx="24">
                  <c:v>35</c:v>
                </c:pt>
                <c:pt idx="25">
                  <c:v>59.1</c:v>
                </c:pt>
                <c:pt idx="26">
                  <c:v>29.5</c:v>
                </c:pt>
                <c:pt idx="27">
                  <c:v>36.299999999999997</c:v>
                </c:pt>
                <c:pt idx="28">
                  <c:v>40.799999999999997</c:v>
                </c:pt>
                <c:pt idx="29">
                  <c:v>36.4</c:v>
                </c:pt>
                <c:pt idx="30">
                  <c:v>37.4</c:v>
                </c:pt>
                <c:pt idx="32">
                  <c:v>36.5</c:v>
                </c:pt>
                <c:pt idx="33">
                  <c:v>57.8</c:v>
                </c:pt>
                <c:pt idx="34">
                  <c:v>28.6</c:v>
                </c:pt>
                <c:pt idx="35">
                  <c:v>37</c:v>
                </c:pt>
                <c:pt idx="36">
                  <c:v>43.1</c:v>
                </c:pt>
                <c:pt idx="37">
                  <c:v>35.700000000000003</c:v>
                </c:pt>
                <c:pt idx="38">
                  <c:v>37.200000000000003</c:v>
                </c:pt>
              </c:numCache>
            </c:numRef>
          </c:val>
          <c:extLst>
            <c:ext xmlns:c16="http://schemas.microsoft.com/office/drawing/2014/chart" uri="{C3380CC4-5D6E-409C-BE32-E72D297353CC}">
              <c16:uniqueId val="{00000000-D1BB-4798-81E6-5345DBF1DF1C}"/>
            </c:ext>
          </c:extLst>
        </c:ser>
        <c:ser>
          <c:idx val="1"/>
          <c:order val="1"/>
          <c:tx>
            <c:strRef>
              <c:f>Keep1!$D$32</c:f>
              <c:strCache>
                <c:ptCount val="1"/>
                <c:pt idx="0">
                  <c:v>Grad</c:v>
                </c:pt>
              </c:strCache>
            </c:strRef>
          </c:tx>
          <c:invertIfNegative val="0"/>
          <c:cat>
            <c:multiLvlStrRef>
              <c:f>Keep1!$E$29:$AQ$30</c:f>
              <c:multiLvlStrCache>
                <c:ptCount val="39"/>
                <c:lvl>
                  <c:pt idx="0">
                    <c:v>CALS</c:v>
                  </c:pt>
                  <c:pt idx="1">
                    <c:v>BUS</c:v>
                  </c:pt>
                  <c:pt idx="2">
                    <c:v>DSN</c:v>
                  </c:pt>
                  <c:pt idx="3">
                    <c:v>ENGR</c:v>
                  </c:pt>
                  <c:pt idx="4">
                    <c:v>HS</c:v>
                  </c:pt>
                  <c:pt idx="5">
                    <c:v>LAS</c:v>
                  </c:pt>
                  <c:pt idx="6">
                    <c:v>ISU</c:v>
                  </c:pt>
                  <c:pt idx="8">
                    <c:v>CALS</c:v>
                  </c:pt>
                  <c:pt idx="9">
                    <c:v>BUS</c:v>
                  </c:pt>
                  <c:pt idx="10">
                    <c:v>DSN</c:v>
                  </c:pt>
                  <c:pt idx="11">
                    <c:v>ENGR</c:v>
                  </c:pt>
                  <c:pt idx="12">
                    <c:v>HS</c:v>
                  </c:pt>
                  <c:pt idx="13">
                    <c:v>LAS</c:v>
                  </c:pt>
                  <c:pt idx="14">
                    <c:v>ISU</c:v>
                  </c:pt>
                  <c:pt idx="16">
                    <c:v>CALS</c:v>
                  </c:pt>
                  <c:pt idx="17">
                    <c:v>BUS</c:v>
                  </c:pt>
                  <c:pt idx="18">
                    <c:v>DSN</c:v>
                  </c:pt>
                  <c:pt idx="19">
                    <c:v>ENGR</c:v>
                  </c:pt>
                  <c:pt idx="20">
                    <c:v>HS</c:v>
                  </c:pt>
                  <c:pt idx="21">
                    <c:v>LAS</c:v>
                  </c:pt>
                  <c:pt idx="22">
                    <c:v>ISU</c:v>
                  </c:pt>
                  <c:pt idx="24">
                    <c:v>CALS</c:v>
                  </c:pt>
                  <c:pt idx="25">
                    <c:v>BUS</c:v>
                  </c:pt>
                  <c:pt idx="26">
                    <c:v>DSN</c:v>
                  </c:pt>
                  <c:pt idx="27">
                    <c:v>ENGR</c:v>
                  </c:pt>
                  <c:pt idx="28">
                    <c:v>HS</c:v>
                  </c:pt>
                  <c:pt idx="29">
                    <c:v>LAS</c:v>
                  </c:pt>
                  <c:pt idx="30">
                    <c:v>ISU</c:v>
                  </c:pt>
                  <c:pt idx="32">
                    <c:v>CALS</c:v>
                  </c:pt>
                  <c:pt idx="33">
                    <c:v>BUS</c:v>
                  </c:pt>
                  <c:pt idx="34">
                    <c:v>DSN</c:v>
                  </c:pt>
                  <c:pt idx="35">
                    <c:v>ENGR</c:v>
                  </c:pt>
                  <c:pt idx="36">
                    <c:v>HS</c:v>
                  </c:pt>
                  <c:pt idx="37">
                    <c:v>LAS</c:v>
                  </c:pt>
                  <c:pt idx="38">
                    <c:v>ISU</c:v>
                  </c:pt>
                </c:lvl>
                <c:lvl>
                  <c:pt idx="0">
                    <c:v>2008</c:v>
                  </c:pt>
                  <c:pt idx="8">
                    <c:v>2009</c:v>
                  </c:pt>
                  <c:pt idx="16">
                    <c:v>2010</c:v>
                  </c:pt>
                  <c:pt idx="24">
                    <c:v>2011</c:v>
                  </c:pt>
                  <c:pt idx="32">
                    <c:v>2012</c:v>
                  </c:pt>
                </c:lvl>
              </c:multiLvlStrCache>
            </c:multiLvlStrRef>
          </c:cat>
          <c:val>
            <c:numRef>
              <c:f>Keep1!$E$32:$AQ$32</c:f>
              <c:numCache>
                <c:formatCode>??.0</c:formatCode>
                <c:ptCount val="39"/>
                <c:pt idx="0">
                  <c:v>8.4</c:v>
                </c:pt>
                <c:pt idx="1">
                  <c:v>23.3</c:v>
                </c:pt>
                <c:pt idx="2">
                  <c:v>8.1</c:v>
                </c:pt>
                <c:pt idx="3">
                  <c:v>11.8</c:v>
                </c:pt>
                <c:pt idx="4">
                  <c:v>9.4</c:v>
                </c:pt>
                <c:pt idx="5">
                  <c:v>12.1</c:v>
                </c:pt>
                <c:pt idx="6">
                  <c:v>11.1</c:v>
                </c:pt>
                <c:pt idx="8">
                  <c:v>9.3000000000000007</c:v>
                </c:pt>
                <c:pt idx="9">
                  <c:v>22.8</c:v>
                </c:pt>
                <c:pt idx="10">
                  <c:v>8.6999999999999993</c:v>
                </c:pt>
                <c:pt idx="11">
                  <c:v>12.9</c:v>
                </c:pt>
                <c:pt idx="12">
                  <c:v>10.3</c:v>
                </c:pt>
                <c:pt idx="13">
                  <c:v>12.8</c:v>
                </c:pt>
                <c:pt idx="14">
                  <c:v>12</c:v>
                </c:pt>
                <c:pt idx="16">
                  <c:v>9.3000000000000007</c:v>
                </c:pt>
                <c:pt idx="17">
                  <c:v>21.7</c:v>
                </c:pt>
                <c:pt idx="18">
                  <c:v>9.1</c:v>
                </c:pt>
                <c:pt idx="19">
                  <c:v>13.2</c:v>
                </c:pt>
                <c:pt idx="20">
                  <c:v>10.3</c:v>
                </c:pt>
                <c:pt idx="21">
                  <c:v>13</c:v>
                </c:pt>
                <c:pt idx="22">
                  <c:v>12</c:v>
                </c:pt>
                <c:pt idx="24">
                  <c:v>9.1999999999999993</c:v>
                </c:pt>
                <c:pt idx="25">
                  <c:v>20.7</c:v>
                </c:pt>
                <c:pt idx="26">
                  <c:v>8.3000000000000007</c:v>
                </c:pt>
                <c:pt idx="27">
                  <c:v>13.2</c:v>
                </c:pt>
                <c:pt idx="28">
                  <c:v>10.1</c:v>
                </c:pt>
                <c:pt idx="29">
                  <c:v>12.7</c:v>
                </c:pt>
                <c:pt idx="30">
                  <c:v>11.7</c:v>
                </c:pt>
                <c:pt idx="32">
                  <c:v>10</c:v>
                </c:pt>
                <c:pt idx="33">
                  <c:v>17.3</c:v>
                </c:pt>
                <c:pt idx="34">
                  <c:v>8.1</c:v>
                </c:pt>
                <c:pt idx="35">
                  <c:v>14.1</c:v>
                </c:pt>
                <c:pt idx="36">
                  <c:v>9.3000000000000007</c:v>
                </c:pt>
                <c:pt idx="37">
                  <c:v>11.8</c:v>
                </c:pt>
                <c:pt idx="38">
                  <c:v>11.4</c:v>
                </c:pt>
              </c:numCache>
            </c:numRef>
          </c:val>
          <c:extLst>
            <c:ext xmlns:c16="http://schemas.microsoft.com/office/drawing/2014/chart" uri="{C3380CC4-5D6E-409C-BE32-E72D297353CC}">
              <c16:uniqueId val="{00000001-D1BB-4798-81E6-5345DBF1DF1C}"/>
            </c:ext>
          </c:extLst>
        </c:ser>
        <c:dLbls>
          <c:showLegendKey val="0"/>
          <c:showVal val="0"/>
          <c:showCatName val="0"/>
          <c:showSerName val="0"/>
          <c:showPercent val="0"/>
          <c:showBubbleSize val="0"/>
        </c:dLbls>
        <c:gapWidth val="150"/>
        <c:overlap val="100"/>
        <c:axId val="548129192"/>
        <c:axId val="548129584"/>
      </c:barChart>
      <c:catAx>
        <c:axId val="548129192"/>
        <c:scaling>
          <c:orientation val="minMax"/>
        </c:scaling>
        <c:delete val="0"/>
        <c:axPos val="l"/>
        <c:numFmt formatCode="General" sourceLinked="1"/>
        <c:majorTickMark val="out"/>
        <c:minorTickMark val="none"/>
        <c:tickLblPos val="nextTo"/>
        <c:crossAx val="548129584"/>
        <c:crosses val="autoZero"/>
        <c:auto val="1"/>
        <c:lblAlgn val="ctr"/>
        <c:lblOffset val="100"/>
        <c:noMultiLvlLbl val="0"/>
      </c:catAx>
      <c:valAx>
        <c:axId val="548129584"/>
        <c:scaling>
          <c:orientation val="minMax"/>
        </c:scaling>
        <c:delete val="0"/>
        <c:axPos val="b"/>
        <c:majorGridlines/>
        <c:numFmt formatCode="??.0" sourceLinked="1"/>
        <c:majorTickMark val="out"/>
        <c:minorTickMark val="none"/>
        <c:tickLblPos val="nextTo"/>
        <c:crossAx val="548129192"/>
        <c:crosses val="autoZero"/>
        <c:crossBetween val="between"/>
      </c:valAx>
    </c:plotArea>
    <c:legend>
      <c:legendPos val="r"/>
      <c:layout>
        <c:manualLayout>
          <c:xMode val="edge"/>
          <c:yMode val="edge"/>
          <c:x val="0.92872910623014227"/>
          <c:y val="0.46524882262057665"/>
          <c:w val="6.0307132661048923E-2"/>
          <c:h val="6.808525530053422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Keep2!$D$3</c:f>
              <c:strCache>
                <c:ptCount val="1"/>
                <c:pt idx="0">
                  <c:v>Ugrad</c:v>
                </c:pt>
              </c:strCache>
            </c:strRef>
          </c:tx>
          <c:invertIfNegative val="0"/>
          <c:cat>
            <c:multiLvlStrRef>
              <c:f>Keep2!$E$1:$AQ$2</c:f>
              <c:multiLvlStrCache>
                <c:ptCount val="39"/>
                <c:lvl>
                  <c:pt idx="0">
                    <c:v>CALS</c:v>
                  </c:pt>
                  <c:pt idx="1">
                    <c:v>BUS</c:v>
                  </c:pt>
                  <c:pt idx="2">
                    <c:v>DSN</c:v>
                  </c:pt>
                  <c:pt idx="3">
                    <c:v>ENGR</c:v>
                  </c:pt>
                  <c:pt idx="4">
                    <c:v>HS</c:v>
                  </c:pt>
                  <c:pt idx="5">
                    <c:v>LAS</c:v>
                  </c:pt>
                  <c:pt idx="6">
                    <c:v>ISU</c:v>
                  </c:pt>
                  <c:pt idx="8">
                    <c:v>CALS</c:v>
                  </c:pt>
                  <c:pt idx="9">
                    <c:v>BUS</c:v>
                  </c:pt>
                  <c:pt idx="10">
                    <c:v>DSN</c:v>
                  </c:pt>
                  <c:pt idx="11">
                    <c:v>ENGR</c:v>
                  </c:pt>
                  <c:pt idx="12">
                    <c:v>HS</c:v>
                  </c:pt>
                  <c:pt idx="13">
                    <c:v>LAS</c:v>
                  </c:pt>
                  <c:pt idx="14">
                    <c:v>ISU</c:v>
                  </c:pt>
                  <c:pt idx="16">
                    <c:v>CALS</c:v>
                  </c:pt>
                  <c:pt idx="17">
                    <c:v>BUS</c:v>
                  </c:pt>
                  <c:pt idx="18">
                    <c:v>DSN</c:v>
                  </c:pt>
                  <c:pt idx="19">
                    <c:v>ENGR</c:v>
                  </c:pt>
                  <c:pt idx="20">
                    <c:v>HS</c:v>
                  </c:pt>
                  <c:pt idx="21">
                    <c:v>LAS</c:v>
                  </c:pt>
                  <c:pt idx="22">
                    <c:v>ISU</c:v>
                  </c:pt>
                  <c:pt idx="24">
                    <c:v>CALS</c:v>
                  </c:pt>
                  <c:pt idx="25">
                    <c:v>BUS</c:v>
                  </c:pt>
                  <c:pt idx="26">
                    <c:v>DSN</c:v>
                  </c:pt>
                  <c:pt idx="27">
                    <c:v>ENGR</c:v>
                  </c:pt>
                  <c:pt idx="28">
                    <c:v>HS</c:v>
                  </c:pt>
                  <c:pt idx="29">
                    <c:v>LAS</c:v>
                  </c:pt>
                  <c:pt idx="30">
                    <c:v>ISU</c:v>
                  </c:pt>
                  <c:pt idx="32">
                    <c:v>CALS</c:v>
                  </c:pt>
                  <c:pt idx="33">
                    <c:v>BUS</c:v>
                  </c:pt>
                  <c:pt idx="34">
                    <c:v>DSN</c:v>
                  </c:pt>
                  <c:pt idx="35">
                    <c:v>ENGR</c:v>
                  </c:pt>
                  <c:pt idx="36">
                    <c:v>HS</c:v>
                  </c:pt>
                  <c:pt idx="37">
                    <c:v>LAS</c:v>
                  </c:pt>
                  <c:pt idx="38">
                    <c:v>ISU</c:v>
                  </c:pt>
                </c:lvl>
                <c:lvl>
                  <c:pt idx="0">
                    <c:v>2008</c:v>
                  </c:pt>
                  <c:pt idx="8">
                    <c:v>2009</c:v>
                  </c:pt>
                  <c:pt idx="16">
                    <c:v>2010</c:v>
                  </c:pt>
                  <c:pt idx="24">
                    <c:v>2011</c:v>
                  </c:pt>
                  <c:pt idx="32">
                    <c:v>2012</c:v>
                  </c:pt>
                </c:lvl>
              </c:multiLvlStrCache>
            </c:multiLvlStrRef>
          </c:cat>
          <c:val>
            <c:numRef>
              <c:f>Keep2!$E$3:$AQ$3</c:f>
              <c:numCache>
                <c:formatCode>??.0</c:formatCode>
                <c:ptCount val="39"/>
                <c:pt idx="0">
                  <c:v>31.8</c:v>
                </c:pt>
                <c:pt idx="1">
                  <c:v>68.900000000000006</c:v>
                </c:pt>
                <c:pt idx="2">
                  <c:v>27.4</c:v>
                </c:pt>
                <c:pt idx="3">
                  <c:v>30.8</c:v>
                </c:pt>
                <c:pt idx="4">
                  <c:v>33.799999999999997</c:v>
                </c:pt>
                <c:pt idx="5">
                  <c:v>35.700000000000003</c:v>
                </c:pt>
                <c:pt idx="6">
                  <c:v>35.1</c:v>
                </c:pt>
                <c:pt idx="8">
                  <c:v>32.9</c:v>
                </c:pt>
                <c:pt idx="9">
                  <c:v>63.7</c:v>
                </c:pt>
                <c:pt idx="10">
                  <c:v>31</c:v>
                </c:pt>
                <c:pt idx="11">
                  <c:v>33.299999999999997</c:v>
                </c:pt>
                <c:pt idx="12">
                  <c:v>32.799999999999997</c:v>
                </c:pt>
                <c:pt idx="13">
                  <c:v>36.9</c:v>
                </c:pt>
                <c:pt idx="14">
                  <c:v>36.299999999999997</c:v>
                </c:pt>
                <c:pt idx="16">
                  <c:v>35.6</c:v>
                </c:pt>
                <c:pt idx="17">
                  <c:v>56.2</c:v>
                </c:pt>
                <c:pt idx="18">
                  <c:v>30.7</c:v>
                </c:pt>
                <c:pt idx="19">
                  <c:v>34.9</c:v>
                </c:pt>
                <c:pt idx="20">
                  <c:v>35.299999999999997</c:v>
                </c:pt>
                <c:pt idx="21">
                  <c:v>36</c:v>
                </c:pt>
                <c:pt idx="22">
                  <c:v>36.4</c:v>
                </c:pt>
                <c:pt idx="24">
                  <c:v>35</c:v>
                </c:pt>
                <c:pt idx="25">
                  <c:v>59.1</c:v>
                </c:pt>
                <c:pt idx="26">
                  <c:v>29.5</c:v>
                </c:pt>
                <c:pt idx="27">
                  <c:v>36.299999999999997</c:v>
                </c:pt>
                <c:pt idx="28">
                  <c:v>40.799999999999997</c:v>
                </c:pt>
                <c:pt idx="29">
                  <c:v>36.4</c:v>
                </c:pt>
                <c:pt idx="30">
                  <c:v>37.4</c:v>
                </c:pt>
                <c:pt idx="32">
                  <c:v>36.5</c:v>
                </c:pt>
                <c:pt idx="33">
                  <c:v>57.8</c:v>
                </c:pt>
                <c:pt idx="34">
                  <c:v>28.6</c:v>
                </c:pt>
                <c:pt idx="35">
                  <c:v>37</c:v>
                </c:pt>
                <c:pt idx="36">
                  <c:v>43.1</c:v>
                </c:pt>
                <c:pt idx="37">
                  <c:v>35.700000000000003</c:v>
                </c:pt>
                <c:pt idx="38">
                  <c:v>37.200000000000003</c:v>
                </c:pt>
              </c:numCache>
            </c:numRef>
          </c:val>
          <c:extLst>
            <c:ext xmlns:c16="http://schemas.microsoft.com/office/drawing/2014/chart" uri="{C3380CC4-5D6E-409C-BE32-E72D297353CC}">
              <c16:uniqueId val="{00000000-2B1F-4A4F-B216-25F994C61DA4}"/>
            </c:ext>
          </c:extLst>
        </c:ser>
        <c:ser>
          <c:idx val="1"/>
          <c:order val="1"/>
          <c:tx>
            <c:strRef>
              <c:f>Keep2!$D$4</c:f>
              <c:strCache>
                <c:ptCount val="1"/>
                <c:pt idx="0">
                  <c:v>Grad</c:v>
                </c:pt>
              </c:strCache>
            </c:strRef>
          </c:tx>
          <c:invertIfNegative val="0"/>
          <c:cat>
            <c:multiLvlStrRef>
              <c:f>Keep2!$E$1:$AQ$2</c:f>
              <c:multiLvlStrCache>
                <c:ptCount val="39"/>
                <c:lvl>
                  <c:pt idx="0">
                    <c:v>CALS</c:v>
                  </c:pt>
                  <c:pt idx="1">
                    <c:v>BUS</c:v>
                  </c:pt>
                  <c:pt idx="2">
                    <c:v>DSN</c:v>
                  </c:pt>
                  <c:pt idx="3">
                    <c:v>ENGR</c:v>
                  </c:pt>
                  <c:pt idx="4">
                    <c:v>HS</c:v>
                  </c:pt>
                  <c:pt idx="5">
                    <c:v>LAS</c:v>
                  </c:pt>
                  <c:pt idx="6">
                    <c:v>ISU</c:v>
                  </c:pt>
                  <c:pt idx="8">
                    <c:v>CALS</c:v>
                  </c:pt>
                  <c:pt idx="9">
                    <c:v>BUS</c:v>
                  </c:pt>
                  <c:pt idx="10">
                    <c:v>DSN</c:v>
                  </c:pt>
                  <c:pt idx="11">
                    <c:v>ENGR</c:v>
                  </c:pt>
                  <c:pt idx="12">
                    <c:v>HS</c:v>
                  </c:pt>
                  <c:pt idx="13">
                    <c:v>LAS</c:v>
                  </c:pt>
                  <c:pt idx="14">
                    <c:v>ISU</c:v>
                  </c:pt>
                  <c:pt idx="16">
                    <c:v>CALS</c:v>
                  </c:pt>
                  <c:pt idx="17">
                    <c:v>BUS</c:v>
                  </c:pt>
                  <c:pt idx="18">
                    <c:v>DSN</c:v>
                  </c:pt>
                  <c:pt idx="19">
                    <c:v>ENGR</c:v>
                  </c:pt>
                  <c:pt idx="20">
                    <c:v>HS</c:v>
                  </c:pt>
                  <c:pt idx="21">
                    <c:v>LAS</c:v>
                  </c:pt>
                  <c:pt idx="22">
                    <c:v>ISU</c:v>
                  </c:pt>
                  <c:pt idx="24">
                    <c:v>CALS</c:v>
                  </c:pt>
                  <c:pt idx="25">
                    <c:v>BUS</c:v>
                  </c:pt>
                  <c:pt idx="26">
                    <c:v>DSN</c:v>
                  </c:pt>
                  <c:pt idx="27">
                    <c:v>ENGR</c:v>
                  </c:pt>
                  <c:pt idx="28">
                    <c:v>HS</c:v>
                  </c:pt>
                  <c:pt idx="29">
                    <c:v>LAS</c:v>
                  </c:pt>
                  <c:pt idx="30">
                    <c:v>ISU</c:v>
                  </c:pt>
                  <c:pt idx="32">
                    <c:v>CALS</c:v>
                  </c:pt>
                  <c:pt idx="33">
                    <c:v>BUS</c:v>
                  </c:pt>
                  <c:pt idx="34">
                    <c:v>DSN</c:v>
                  </c:pt>
                  <c:pt idx="35">
                    <c:v>ENGR</c:v>
                  </c:pt>
                  <c:pt idx="36">
                    <c:v>HS</c:v>
                  </c:pt>
                  <c:pt idx="37">
                    <c:v>LAS</c:v>
                  </c:pt>
                  <c:pt idx="38">
                    <c:v>ISU</c:v>
                  </c:pt>
                </c:lvl>
                <c:lvl>
                  <c:pt idx="0">
                    <c:v>2008</c:v>
                  </c:pt>
                  <c:pt idx="8">
                    <c:v>2009</c:v>
                  </c:pt>
                  <c:pt idx="16">
                    <c:v>2010</c:v>
                  </c:pt>
                  <c:pt idx="24">
                    <c:v>2011</c:v>
                  </c:pt>
                  <c:pt idx="32">
                    <c:v>2012</c:v>
                  </c:pt>
                </c:lvl>
              </c:multiLvlStrCache>
            </c:multiLvlStrRef>
          </c:cat>
          <c:val>
            <c:numRef>
              <c:f>Keep2!$E$4:$AQ$4</c:f>
              <c:numCache>
                <c:formatCode>??.0</c:formatCode>
                <c:ptCount val="39"/>
                <c:pt idx="0">
                  <c:v>8.4</c:v>
                </c:pt>
                <c:pt idx="1">
                  <c:v>23.3</c:v>
                </c:pt>
                <c:pt idx="2">
                  <c:v>8.1</c:v>
                </c:pt>
                <c:pt idx="3">
                  <c:v>11.8</c:v>
                </c:pt>
                <c:pt idx="4">
                  <c:v>9.4</c:v>
                </c:pt>
                <c:pt idx="5">
                  <c:v>12.1</c:v>
                </c:pt>
                <c:pt idx="6">
                  <c:v>11.1</c:v>
                </c:pt>
                <c:pt idx="8">
                  <c:v>9.3000000000000007</c:v>
                </c:pt>
                <c:pt idx="9">
                  <c:v>22.8</c:v>
                </c:pt>
                <c:pt idx="10">
                  <c:v>8.6999999999999993</c:v>
                </c:pt>
                <c:pt idx="11">
                  <c:v>12.9</c:v>
                </c:pt>
                <c:pt idx="12">
                  <c:v>10.3</c:v>
                </c:pt>
                <c:pt idx="13">
                  <c:v>12.8</c:v>
                </c:pt>
                <c:pt idx="14">
                  <c:v>12</c:v>
                </c:pt>
                <c:pt idx="16">
                  <c:v>9.3000000000000007</c:v>
                </c:pt>
                <c:pt idx="17">
                  <c:v>21.7</c:v>
                </c:pt>
                <c:pt idx="18">
                  <c:v>9.1</c:v>
                </c:pt>
                <c:pt idx="19">
                  <c:v>13.2</c:v>
                </c:pt>
                <c:pt idx="20">
                  <c:v>10.3</c:v>
                </c:pt>
                <c:pt idx="21">
                  <c:v>13</c:v>
                </c:pt>
                <c:pt idx="22">
                  <c:v>12</c:v>
                </c:pt>
                <c:pt idx="24">
                  <c:v>9.1999999999999993</c:v>
                </c:pt>
                <c:pt idx="25">
                  <c:v>20.7</c:v>
                </c:pt>
                <c:pt idx="26">
                  <c:v>8.3000000000000007</c:v>
                </c:pt>
                <c:pt idx="27">
                  <c:v>13.2</c:v>
                </c:pt>
                <c:pt idx="28">
                  <c:v>10.1</c:v>
                </c:pt>
                <c:pt idx="29">
                  <c:v>12.7</c:v>
                </c:pt>
                <c:pt idx="30">
                  <c:v>11.7</c:v>
                </c:pt>
                <c:pt idx="32">
                  <c:v>10</c:v>
                </c:pt>
                <c:pt idx="33">
                  <c:v>17.3</c:v>
                </c:pt>
                <c:pt idx="34">
                  <c:v>8.1</c:v>
                </c:pt>
                <c:pt idx="35">
                  <c:v>14.1</c:v>
                </c:pt>
                <c:pt idx="36">
                  <c:v>9.3000000000000007</c:v>
                </c:pt>
                <c:pt idx="37">
                  <c:v>11.8</c:v>
                </c:pt>
                <c:pt idx="38">
                  <c:v>11.4</c:v>
                </c:pt>
              </c:numCache>
            </c:numRef>
          </c:val>
          <c:extLst>
            <c:ext xmlns:c16="http://schemas.microsoft.com/office/drawing/2014/chart" uri="{C3380CC4-5D6E-409C-BE32-E72D297353CC}">
              <c16:uniqueId val="{00000001-2B1F-4A4F-B216-25F994C61DA4}"/>
            </c:ext>
          </c:extLst>
        </c:ser>
        <c:dLbls>
          <c:showLegendKey val="0"/>
          <c:showVal val="0"/>
          <c:showCatName val="0"/>
          <c:showSerName val="0"/>
          <c:showPercent val="0"/>
          <c:showBubbleSize val="0"/>
        </c:dLbls>
        <c:gapWidth val="150"/>
        <c:overlap val="100"/>
        <c:axId val="548130368"/>
        <c:axId val="535707648"/>
      </c:barChart>
      <c:catAx>
        <c:axId val="548130368"/>
        <c:scaling>
          <c:orientation val="minMax"/>
        </c:scaling>
        <c:delete val="0"/>
        <c:axPos val="l"/>
        <c:numFmt formatCode="General" sourceLinked="1"/>
        <c:majorTickMark val="out"/>
        <c:minorTickMark val="none"/>
        <c:tickLblPos val="nextTo"/>
        <c:crossAx val="535707648"/>
        <c:crosses val="autoZero"/>
        <c:auto val="1"/>
        <c:lblAlgn val="ctr"/>
        <c:lblOffset val="100"/>
        <c:noMultiLvlLbl val="0"/>
      </c:catAx>
      <c:valAx>
        <c:axId val="535707648"/>
        <c:scaling>
          <c:orientation val="minMax"/>
        </c:scaling>
        <c:delete val="0"/>
        <c:axPos val="b"/>
        <c:majorGridlines/>
        <c:numFmt formatCode="??.0" sourceLinked="1"/>
        <c:majorTickMark val="out"/>
        <c:minorTickMark val="none"/>
        <c:tickLblPos val="nextTo"/>
        <c:crossAx val="548130368"/>
        <c:crosses val="autoZero"/>
        <c:crossBetween val="between"/>
      </c:valAx>
    </c:plotArea>
    <c:legend>
      <c:legendPos val="r"/>
      <c:layout>
        <c:manualLayout>
          <c:xMode val="edge"/>
          <c:yMode val="edge"/>
          <c:x val="0.92990188384173778"/>
          <c:y val="0.46524882262057665"/>
          <c:w val="6.0240963855421659E-2"/>
          <c:h val="6.808525530053422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Keep3!$A$4</c:f>
              <c:strCache>
                <c:ptCount val="1"/>
                <c:pt idx="0">
                  <c:v>Ugrad</c:v>
                </c:pt>
              </c:strCache>
            </c:strRef>
          </c:tx>
          <c:invertIfNegative val="0"/>
          <c:cat>
            <c:multiLvlStrRef>
              <c:f>Keep3!$B$2:$AQ$3</c:f>
              <c:multiLvlStrCache>
                <c:ptCount val="41"/>
                <c:lvl>
                  <c:pt idx="0">
                    <c:v>2008</c:v>
                  </c:pt>
                  <c:pt idx="1">
                    <c:v>2009</c:v>
                  </c:pt>
                  <c:pt idx="2">
                    <c:v>2010</c:v>
                  </c:pt>
                  <c:pt idx="3">
                    <c:v>2011</c:v>
                  </c:pt>
                  <c:pt idx="4">
                    <c:v>2012</c:v>
                  </c:pt>
                  <c:pt idx="6">
                    <c:v>2008</c:v>
                  </c:pt>
                  <c:pt idx="7">
                    <c:v>2009</c:v>
                  </c:pt>
                  <c:pt idx="8">
                    <c:v>2010</c:v>
                  </c:pt>
                  <c:pt idx="9">
                    <c:v>2011</c:v>
                  </c:pt>
                  <c:pt idx="10">
                    <c:v>2012</c:v>
                  </c:pt>
                  <c:pt idx="12">
                    <c:v>2008</c:v>
                  </c:pt>
                  <c:pt idx="13">
                    <c:v>2009</c:v>
                  </c:pt>
                  <c:pt idx="14">
                    <c:v>2010</c:v>
                  </c:pt>
                  <c:pt idx="15">
                    <c:v>2011</c:v>
                  </c:pt>
                  <c:pt idx="16">
                    <c:v>2012</c:v>
                  </c:pt>
                  <c:pt idx="18">
                    <c:v>2008</c:v>
                  </c:pt>
                  <c:pt idx="19">
                    <c:v>2009</c:v>
                  </c:pt>
                  <c:pt idx="20">
                    <c:v>2010</c:v>
                  </c:pt>
                  <c:pt idx="21">
                    <c:v>2011</c:v>
                  </c:pt>
                  <c:pt idx="22">
                    <c:v>2012</c:v>
                  </c:pt>
                  <c:pt idx="24">
                    <c:v>2008</c:v>
                  </c:pt>
                  <c:pt idx="25">
                    <c:v>2009</c:v>
                  </c:pt>
                  <c:pt idx="26">
                    <c:v>2010</c:v>
                  </c:pt>
                  <c:pt idx="27">
                    <c:v>2011</c:v>
                  </c:pt>
                  <c:pt idx="28">
                    <c:v>2012</c:v>
                  </c:pt>
                  <c:pt idx="30">
                    <c:v>2008</c:v>
                  </c:pt>
                  <c:pt idx="31">
                    <c:v>2009</c:v>
                  </c:pt>
                  <c:pt idx="32">
                    <c:v>2010</c:v>
                  </c:pt>
                  <c:pt idx="33">
                    <c:v>2011</c:v>
                  </c:pt>
                  <c:pt idx="34">
                    <c:v>2012</c:v>
                  </c:pt>
                  <c:pt idx="36">
                    <c:v>2008</c:v>
                  </c:pt>
                  <c:pt idx="37">
                    <c:v>2009</c:v>
                  </c:pt>
                  <c:pt idx="38">
                    <c:v>2010</c:v>
                  </c:pt>
                  <c:pt idx="39">
                    <c:v>2011</c:v>
                  </c:pt>
                  <c:pt idx="40">
                    <c:v>2012</c:v>
                  </c:pt>
                </c:lvl>
                <c:lvl>
                  <c:pt idx="0">
                    <c:v>CALS</c:v>
                  </c:pt>
                  <c:pt idx="6">
                    <c:v>BUS</c:v>
                  </c:pt>
                  <c:pt idx="12">
                    <c:v>DSN</c:v>
                  </c:pt>
                  <c:pt idx="18">
                    <c:v>ENGR</c:v>
                  </c:pt>
                  <c:pt idx="24">
                    <c:v>HS</c:v>
                  </c:pt>
                  <c:pt idx="30">
                    <c:v>LAS</c:v>
                  </c:pt>
                  <c:pt idx="36">
                    <c:v>ISU TOTAL</c:v>
                  </c:pt>
                </c:lvl>
              </c:multiLvlStrCache>
            </c:multiLvlStrRef>
          </c:cat>
          <c:val>
            <c:numRef>
              <c:f>Keep3!$B$4:$AQ$4</c:f>
              <c:numCache>
                <c:formatCode>??.0</c:formatCode>
                <c:ptCount val="42"/>
                <c:pt idx="0">
                  <c:v>31.8</c:v>
                </c:pt>
                <c:pt idx="1">
                  <c:v>32.9</c:v>
                </c:pt>
                <c:pt idx="2">
                  <c:v>35.6</c:v>
                </c:pt>
                <c:pt idx="3">
                  <c:v>35</c:v>
                </c:pt>
                <c:pt idx="4">
                  <c:v>36.5</c:v>
                </c:pt>
                <c:pt idx="6">
                  <c:v>68.900000000000006</c:v>
                </c:pt>
                <c:pt idx="7">
                  <c:v>63.7</c:v>
                </c:pt>
                <c:pt idx="8">
                  <c:v>56.2</c:v>
                </c:pt>
                <c:pt idx="9">
                  <c:v>59.1</c:v>
                </c:pt>
                <c:pt idx="10">
                  <c:v>57.8</c:v>
                </c:pt>
                <c:pt idx="12">
                  <c:v>27.4</c:v>
                </c:pt>
                <c:pt idx="13">
                  <c:v>31</c:v>
                </c:pt>
                <c:pt idx="14">
                  <c:v>30.7</c:v>
                </c:pt>
                <c:pt idx="15">
                  <c:v>29.5</c:v>
                </c:pt>
                <c:pt idx="16">
                  <c:v>28.6</c:v>
                </c:pt>
                <c:pt idx="18">
                  <c:v>30.8</c:v>
                </c:pt>
                <c:pt idx="19">
                  <c:v>33.299999999999997</c:v>
                </c:pt>
                <c:pt idx="20">
                  <c:v>34.9</c:v>
                </c:pt>
                <c:pt idx="21">
                  <c:v>36.299999999999997</c:v>
                </c:pt>
                <c:pt idx="22">
                  <c:v>37</c:v>
                </c:pt>
                <c:pt idx="24">
                  <c:v>33.799999999999997</c:v>
                </c:pt>
                <c:pt idx="25">
                  <c:v>32.799999999999997</c:v>
                </c:pt>
                <c:pt idx="26">
                  <c:v>35.299999999999997</c:v>
                </c:pt>
                <c:pt idx="27">
                  <c:v>40.799999999999997</c:v>
                </c:pt>
                <c:pt idx="28">
                  <c:v>43.1</c:v>
                </c:pt>
                <c:pt idx="30">
                  <c:v>35.700000000000003</c:v>
                </c:pt>
                <c:pt idx="31">
                  <c:v>36.9</c:v>
                </c:pt>
                <c:pt idx="32">
                  <c:v>36</c:v>
                </c:pt>
                <c:pt idx="33">
                  <c:v>36.4</c:v>
                </c:pt>
                <c:pt idx="34">
                  <c:v>35.700000000000003</c:v>
                </c:pt>
                <c:pt idx="36">
                  <c:v>35.1</c:v>
                </c:pt>
                <c:pt idx="37">
                  <c:v>36.299999999999997</c:v>
                </c:pt>
                <c:pt idx="38">
                  <c:v>36.4</c:v>
                </c:pt>
                <c:pt idx="39">
                  <c:v>37.4</c:v>
                </c:pt>
                <c:pt idx="40">
                  <c:v>37.200000000000003</c:v>
                </c:pt>
              </c:numCache>
            </c:numRef>
          </c:val>
          <c:extLst>
            <c:ext xmlns:c16="http://schemas.microsoft.com/office/drawing/2014/chart" uri="{C3380CC4-5D6E-409C-BE32-E72D297353CC}">
              <c16:uniqueId val="{00000000-11F6-455C-879F-5DDCD2F74773}"/>
            </c:ext>
          </c:extLst>
        </c:ser>
        <c:ser>
          <c:idx val="1"/>
          <c:order val="1"/>
          <c:tx>
            <c:strRef>
              <c:f>Keep3!$A$5</c:f>
              <c:strCache>
                <c:ptCount val="1"/>
                <c:pt idx="0">
                  <c:v>Grad</c:v>
                </c:pt>
              </c:strCache>
            </c:strRef>
          </c:tx>
          <c:invertIfNegative val="0"/>
          <c:cat>
            <c:multiLvlStrRef>
              <c:f>Keep3!$B$2:$AQ$3</c:f>
              <c:multiLvlStrCache>
                <c:ptCount val="41"/>
                <c:lvl>
                  <c:pt idx="0">
                    <c:v>2008</c:v>
                  </c:pt>
                  <c:pt idx="1">
                    <c:v>2009</c:v>
                  </c:pt>
                  <c:pt idx="2">
                    <c:v>2010</c:v>
                  </c:pt>
                  <c:pt idx="3">
                    <c:v>2011</c:v>
                  </c:pt>
                  <c:pt idx="4">
                    <c:v>2012</c:v>
                  </c:pt>
                  <c:pt idx="6">
                    <c:v>2008</c:v>
                  </c:pt>
                  <c:pt idx="7">
                    <c:v>2009</c:v>
                  </c:pt>
                  <c:pt idx="8">
                    <c:v>2010</c:v>
                  </c:pt>
                  <c:pt idx="9">
                    <c:v>2011</c:v>
                  </c:pt>
                  <c:pt idx="10">
                    <c:v>2012</c:v>
                  </c:pt>
                  <c:pt idx="12">
                    <c:v>2008</c:v>
                  </c:pt>
                  <c:pt idx="13">
                    <c:v>2009</c:v>
                  </c:pt>
                  <c:pt idx="14">
                    <c:v>2010</c:v>
                  </c:pt>
                  <c:pt idx="15">
                    <c:v>2011</c:v>
                  </c:pt>
                  <c:pt idx="16">
                    <c:v>2012</c:v>
                  </c:pt>
                  <c:pt idx="18">
                    <c:v>2008</c:v>
                  </c:pt>
                  <c:pt idx="19">
                    <c:v>2009</c:v>
                  </c:pt>
                  <c:pt idx="20">
                    <c:v>2010</c:v>
                  </c:pt>
                  <c:pt idx="21">
                    <c:v>2011</c:v>
                  </c:pt>
                  <c:pt idx="22">
                    <c:v>2012</c:v>
                  </c:pt>
                  <c:pt idx="24">
                    <c:v>2008</c:v>
                  </c:pt>
                  <c:pt idx="25">
                    <c:v>2009</c:v>
                  </c:pt>
                  <c:pt idx="26">
                    <c:v>2010</c:v>
                  </c:pt>
                  <c:pt idx="27">
                    <c:v>2011</c:v>
                  </c:pt>
                  <c:pt idx="28">
                    <c:v>2012</c:v>
                  </c:pt>
                  <c:pt idx="30">
                    <c:v>2008</c:v>
                  </c:pt>
                  <c:pt idx="31">
                    <c:v>2009</c:v>
                  </c:pt>
                  <c:pt idx="32">
                    <c:v>2010</c:v>
                  </c:pt>
                  <c:pt idx="33">
                    <c:v>2011</c:v>
                  </c:pt>
                  <c:pt idx="34">
                    <c:v>2012</c:v>
                  </c:pt>
                  <c:pt idx="36">
                    <c:v>2008</c:v>
                  </c:pt>
                  <c:pt idx="37">
                    <c:v>2009</c:v>
                  </c:pt>
                  <c:pt idx="38">
                    <c:v>2010</c:v>
                  </c:pt>
                  <c:pt idx="39">
                    <c:v>2011</c:v>
                  </c:pt>
                  <c:pt idx="40">
                    <c:v>2012</c:v>
                  </c:pt>
                </c:lvl>
                <c:lvl>
                  <c:pt idx="0">
                    <c:v>CALS</c:v>
                  </c:pt>
                  <c:pt idx="6">
                    <c:v>BUS</c:v>
                  </c:pt>
                  <c:pt idx="12">
                    <c:v>DSN</c:v>
                  </c:pt>
                  <c:pt idx="18">
                    <c:v>ENGR</c:v>
                  </c:pt>
                  <c:pt idx="24">
                    <c:v>HS</c:v>
                  </c:pt>
                  <c:pt idx="30">
                    <c:v>LAS</c:v>
                  </c:pt>
                  <c:pt idx="36">
                    <c:v>ISU TOTAL</c:v>
                  </c:pt>
                </c:lvl>
              </c:multiLvlStrCache>
            </c:multiLvlStrRef>
          </c:cat>
          <c:val>
            <c:numRef>
              <c:f>Keep3!$B$5:$AQ$5</c:f>
              <c:numCache>
                <c:formatCode>??.0</c:formatCode>
                <c:ptCount val="42"/>
                <c:pt idx="0">
                  <c:v>8.4</c:v>
                </c:pt>
                <c:pt idx="1">
                  <c:v>9.3000000000000007</c:v>
                </c:pt>
                <c:pt idx="2">
                  <c:v>9.3000000000000007</c:v>
                </c:pt>
                <c:pt idx="3">
                  <c:v>9.1999999999999993</c:v>
                </c:pt>
                <c:pt idx="4">
                  <c:v>10</c:v>
                </c:pt>
                <c:pt idx="6">
                  <c:v>23.3</c:v>
                </c:pt>
                <c:pt idx="7">
                  <c:v>22.8</c:v>
                </c:pt>
                <c:pt idx="8">
                  <c:v>21.7</c:v>
                </c:pt>
                <c:pt idx="9">
                  <c:v>20.7</c:v>
                </c:pt>
                <c:pt idx="10">
                  <c:v>17.3</c:v>
                </c:pt>
                <c:pt idx="12">
                  <c:v>8.1</c:v>
                </c:pt>
                <c:pt idx="13">
                  <c:v>8.6999999999999993</c:v>
                </c:pt>
                <c:pt idx="14">
                  <c:v>9.1</c:v>
                </c:pt>
                <c:pt idx="15">
                  <c:v>8.3000000000000007</c:v>
                </c:pt>
                <c:pt idx="16">
                  <c:v>8.1</c:v>
                </c:pt>
                <c:pt idx="18">
                  <c:v>11.8</c:v>
                </c:pt>
                <c:pt idx="19">
                  <c:v>12.9</c:v>
                </c:pt>
                <c:pt idx="20">
                  <c:v>13.2</c:v>
                </c:pt>
                <c:pt idx="21">
                  <c:v>13.2</c:v>
                </c:pt>
                <c:pt idx="22">
                  <c:v>14.1</c:v>
                </c:pt>
                <c:pt idx="24">
                  <c:v>9.4</c:v>
                </c:pt>
                <c:pt idx="25">
                  <c:v>10.3</c:v>
                </c:pt>
                <c:pt idx="26">
                  <c:v>10.3</c:v>
                </c:pt>
                <c:pt idx="27">
                  <c:v>10.1</c:v>
                </c:pt>
                <c:pt idx="28">
                  <c:v>9.3000000000000007</c:v>
                </c:pt>
                <c:pt idx="30">
                  <c:v>12.1</c:v>
                </c:pt>
                <c:pt idx="31">
                  <c:v>12.8</c:v>
                </c:pt>
                <c:pt idx="32">
                  <c:v>13</c:v>
                </c:pt>
                <c:pt idx="33">
                  <c:v>12.7</c:v>
                </c:pt>
                <c:pt idx="34">
                  <c:v>11.8</c:v>
                </c:pt>
                <c:pt idx="36">
                  <c:v>11.1</c:v>
                </c:pt>
                <c:pt idx="37">
                  <c:v>12</c:v>
                </c:pt>
                <c:pt idx="38">
                  <c:v>12</c:v>
                </c:pt>
                <c:pt idx="39">
                  <c:v>11.7</c:v>
                </c:pt>
                <c:pt idx="40">
                  <c:v>11.4</c:v>
                </c:pt>
              </c:numCache>
            </c:numRef>
          </c:val>
          <c:extLst>
            <c:ext xmlns:c16="http://schemas.microsoft.com/office/drawing/2014/chart" uri="{C3380CC4-5D6E-409C-BE32-E72D297353CC}">
              <c16:uniqueId val="{00000001-11F6-455C-879F-5DDCD2F74773}"/>
            </c:ext>
          </c:extLst>
        </c:ser>
        <c:dLbls>
          <c:showLegendKey val="0"/>
          <c:showVal val="0"/>
          <c:showCatName val="0"/>
          <c:showSerName val="0"/>
          <c:showPercent val="0"/>
          <c:showBubbleSize val="0"/>
        </c:dLbls>
        <c:gapWidth val="150"/>
        <c:overlap val="100"/>
        <c:axId val="535708040"/>
        <c:axId val="535708824"/>
      </c:barChart>
      <c:catAx>
        <c:axId val="535708040"/>
        <c:scaling>
          <c:orientation val="minMax"/>
        </c:scaling>
        <c:delete val="0"/>
        <c:axPos val="b"/>
        <c:numFmt formatCode="General" sourceLinked="1"/>
        <c:majorTickMark val="none"/>
        <c:minorTickMark val="none"/>
        <c:tickLblPos val="nextTo"/>
        <c:spPr>
          <a:ln>
            <a:noFill/>
          </a:ln>
        </c:spPr>
        <c:crossAx val="535708824"/>
        <c:crosses val="autoZero"/>
        <c:auto val="1"/>
        <c:lblAlgn val="ctr"/>
        <c:lblOffset val="100"/>
        <c:noMultiLvlLbl val="0"/>
      </c:catAx>
      <c:valAx>
        <c:axId val="535708824"/>
        <c:scaling>
          <c:orientation val="minMax"/>
        </c:scaling>
        <c:delete val="0"/>
        <c:axPos val="l"/>
        <c:majorGridlines/>
        <c:numFmt formatCode="??.0" sourceLinked="1"/>
        <c:majorTickMark val="out"/>
        <c:minorTickMark val="none"/>
        <c:tickLblPos val="nextTo"/>
        <c:crossAx val="535708040"/>
        <c:crosses val="autoZero"/>
        <c:crossBetween val="between"/>
      </c:valAx>
    </c:plotArea>
    <c:legend>
      <c:legendPos val="r"/>
      <c:layout>
        <c:manualLayout>
          <c:xMode val="edge"/>
          <c:yMode val="edge"/>
          <c:x val="0.91523178807947014"/>
          <c:y val="0.46433831142286253"/>
          <c:w val="7.2847682119205337E-2"/>
          <c:h val="6.9869148452513352E-2"/>
        </c:manualLayout>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15328</xdr:colOff>
      <xdr:row>0</xdr:row>
      <xdr:rowOff>56418</xdr:rowOff>
    </xdr:from>
    <xdr:to>
      <xdr:col>62</xdr:col>
      <xdr:colOff>187404</xdr:colOff>
      <xdr:row>1</xdr:row>
      <xdr:rowOff>3552</xdr:rowOff>
    </xdr:to>
    <xdr:grpSp>
      <xdr:nvGrpSpPr>
        <xdr:cNvPr id="2411" name="Group 3"/>
        <xdr:cNvGrpSpPr>
          <a:grpSpLocks noChangeAspect="1"/>
        </xdr:cNvGrpSpPr>
      </xdr:nvGrpSpPr>
      <xdr:grpSpPr bwMode="auto">
        <a:xfrm>
          <a:off x="15328" y="56418"/>
          <a:ext cx="8584556" cy="137634"/>
          <a:chOff x="3" y="15"/>
          <a:chExt cx="1032" cy="14"/>
        </a:xfrm>
      </xdr:grpSpPr>
      <xdr:pic>
        <xdr:nvPicPr>
          <xdr:cNvPr id="2414" name="Picture 4"/>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 y="15"/>
            <a:ext cx="165" cy="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415" name="Line 5"/>
          <xdr:cNvSpPr>
            <a:spLocks noChangeAspect="1" noChangeShapeType="1"/>
          </xdr:cNvSpPr>
        </xdr:nvSpPr>
        <xdr:spPr bwMode="auto">
          <a:xfrm>
            <a:off x="3" y="29"/>
            <a:ext cx="1032"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editAs="absolute">
    <xdr:from>
      <xdr:col>0</xdr:col>
      <xdr:colOff>89610</xdr:colOff>
      <xdr:row>57</xdr:row>
      <xdr:rowOff>178379</xdr:rowOff>
    </xdr:from>
    <xdr:to>
      <xdr:col>63</xdr:col>
      <xdr:colOff>420687</xdr:colOff>
      <xdr:row>71</xdr:row>
      <xdr:rowOff>103188</xdr:rowOff>
    </xdr:to>
    <xdr:graphicFrame macro="">
      <xdr:nvGraphicFramePr>
        <xdr:cNvPr id="24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56418</xdr:rowOff>
    </xdr:from>
    <xdr:to>
      <xdr:col>62</xdr:col>
      <xdr:colOff>201930</xdr:colOff>
      <xdr:row>56</xdr:row>
      <xdr:rowOff>3552</xdr:rowOff>
    </xdr:to>
    <xdr:grpSp>
      <xdr:nvGrpSpPr>
        <xdr:cNvPr id="13" name="Group 3"/>
        <xdr:cNvGrpSpPr>
          <a:grpSpLocks noChangeAspect="1"/>
        </xdr:cNvGrpSpPr>
      </xdr:nvGrpSpPr>
      <xdr:grpSpPr bwMode="auto">
        <a:xfrm>
          <a:off x="0" y="7501158"/>
          <a:ext cx="8614410" cy="137634"/>
          <a:chOff x="1" y="15"/>
          <a:chExt cx="1010" cy="14"/>
        </a:xfrm>
      </xdr:grpSpPr>
      <xdr:pic>
        <xdr:nvPicPr>
          <xdr:cNvPr id="14" name="Picture 4"/>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 y="15"/>
            <a:ext cx="165" cy="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 name="Line 5"/>
          <xdr:cNvSpPr>
            <a:spLocks noChangeAspect="1" noChangeShapeType="1"/>
          </xdr:cNvSpPr>
        </xdr:nvSpPr>
        <xdr:spPr bwMode="auto">
          <a:xfrm>
            <a:off x="1" y="29"/>
            <a:ext cx="101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70</xdr:row>
      <xdr:rowOff>150813</xdr:rowOff>
    </xdr:from>
    <xdr:to>
      <xdr:col>63</xdr:col>
      <xdr:colOff>428625</xdr:colOff>
      <xdr:row>82</xdr:row>
      <xdr:rowOff>182563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275166</xdr:colOff>
      <xdr:row>7</xdr:row>
      <xdr:rowOff>289983</xdr:rowOff>
    </xdr:from>
    <xdr:to>
      <xdr:col>70</xdr:col>
      <xdr:colOff>233891</xdr:colOff>
      <xdr:row>37</xdr:row>
      <xdr:rowOff>131234</xdr:rowOff>
    </xdr:to>
    <xdr:graphicFrame macro="">
      <xdr:nvGraphicFramePr>
        <xdr:cNvPr id="1334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138112</xdr:rowOff>
    </xdr:from>
    <xdr:to>
      <xdr:col>73</xdr:col>
      <xdr:colOff>47625</xdr:colOff>
      <xdr:row>35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123825</xdr:rowOff>
    </xdr:to>
    <xdr:grpSp>
      <xdr:nvGrpSpPr>
        <xdr:cNvPr id="4252" name="Group 3"/>
        <xdr:cNvGrpSpPr>
          <a:grpSpLocks noChangeAspect="1"/>
        </xdr:cNvGrpSpPr>
      </xdr:nvGrpSpPr>
      <xdr:grpSpPr bwMode="auto">
        <a:xfrm>
          <a:off x="0" y="0"/>
          <a:ext cx="6115050" cy="123825"/>
          <a:chOff x="1" y="16"/>
          <a:chExt cx="860" cy="13"/>
        </a:xfrm>
      </xdr:grpSpPr>
      <xdr:pic>
        <xdr:nvPicPr>
          <xdr:cNvPr id="4254" name="Picture 4"/>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 y="16"/>
            <a:ext cx="112" cy="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255" name="Line 5"/>
          <xdr:cNvSpPr>
            <a:spLocks noChangeAspect="1" noChangeShapeType="1"/>
          </xdr:cNvSpPr>
        </xdr:nvSpPr>
        <xdr:spPr bwMode="auto">
          <a:xfrm>
            <a:off x="1" y="29"/>
            <a:ext cx="860"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31</xdr:col>
      <xdr:colOff>38100</xdr:colOff>
      <xdr:row>40</xdr:row>
      <xdr:rowOff>123825</xdr:rowOff>
    </xdr:from>
    <xdr:to>
      <xdr:col>42</xdr:col>
      <xdr:colOff>285750</xdr:colOff>
      <xdr:row>76</xdr:row>
      <xdr:rowOff>85725</xdr:rowOff>
    </xdr:to>
    <xdr:graphicFrame macro="">
      <xdr:nvGraphicFramePr>
        <xdr:cNvPr id="425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304800</xdr:rowOff>
    </xdr:from>
    <xdr:to>
      <xdr:col>11</xdr:col>
      <xdr:colOff>447675</xdr:colOff>
      <xdr:row>49</xdr:row>
      <xdr:rowOff>104775</xdr:rowOff>
    </xdr:to>
    <xdr:graphicFrame macro="">
      <xdr:nvGraphicFramePr>
        <xdr:cNvPr id="51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257175</xdr:colOff>
      <xdr:row>13</xdr:row>
      <xdr:rowOff>314325</xdr:rowOff>
    </xdr:from>
    <xdr:to>
      <xdr:col>17</xdr:col>
      <xdr:colOff>276225</xdr:colOff>
      <xdr:row>49</xdr:row>
      <xdr:rowOff>104775</xdr:rowOff>
    </xdr:to>
    <xdr:graphicFrame macro="">
      <xdr:nvGraphicFramePr>
        <xdr:cNvPr id="61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107"/>
  <sheetViews>
    <sheetView showGridLines="0" tabSelected="1" view="pageBreakPreview" topLeftCell="A54" zoomScaleNormal="100" zoomScaleSheetLayoutView="100" workbookViewId="0">
      <selection activeCell="A57" sqref="A57:BJ57"/>
    </sheetView>
  </sheetViews>
  <sheetFormatPr defaultColWidth="11.44140625" defaultRowHeight="12.75" customHeight="1"/>
  <cols>
    <col min="1" max="1" width="3.109375" style="5" customWidth="1"/>
    <col min="2" max="2" width="0.88671875" style="5" customWidth="1"/>
    <col min="3" max="3" width="25.6640625" style="13" customWidth="1"/>
    <col min="4" max="4" width="6.44140625" style="11" hidden="1" customWidth="1"/>
    <col min="5" max="5" width="3" style="11" hidden="1" customWidth="1"/>
    <col min="6" max="6" width="6.44140625" style="11" hidden="1" customWidth="1"/>
    <col min="7" max="7" width="3" style="11" hidden="1" customWidth="1"/>
    <col min="8" max="8" width="6.44140625" style="11" hidden="1" customWidth="1"/>
    <col min="9" max="9" width="3" style="11" hidden="1" customWidth="1"/>
    <col min="10" max="10" width="6.44140625" style="11" hidden="1" customWidth="1"/>
    <col min="11" max="11" width="3" style="11" hidden="1" customWidth="1"/>
    <col min="12" max="12" width="6.44140625" style="11" hidden="1" customWidth="1"/>
    <col min="13" max="13" width="3" style="11" hidden="1" customWidth="1"/>
    <col min="14" max="14" width="6.44140625" style="11" hidden="1" customWidth="1"/>
    <col min="15" max="15" width="2.88671875" style="11" hidden="1" customWidth="1"/>
    <col min="16" max="16" width="6.44140625" style="11" hidden="1" customWidth="1"/>
    <col min="17" max="17" width="2.6640625" style="11" hidden="1" customWidth="1"/>
    <col min="18" max="18" width="6.44140625" style="11" hidden="1" customWidth="1"/>
    <col min="19" max="19" width="2.44140625" hidden="1" customWidth="1"/>
    <col min="20" max="20" width="6.44140625" style="11" hidden="1" customWidth="1"/>
    <col min="21" max="21" width="2.44140625" hidden="1" customWidth="1"/>
    <col min="22" max="22" width="6.44140625" style="11" hidden="1" customWidth="1"/>
    <col min="23" max="23" width="2.44140625" style="11" hidden="1" customWidth="1"/>
    <col min="24" max="24" width="6.44140625" style="11" hidden="1" customWidth="1"/>
    <col min="25" max="25" width="2.44140625" hidden="1" customWidth="1"/>
    <col min="26" max="26" width="6.44140625" style="11" hidden="1" customWidth="1"/>
    <col min="27" max="27" width="2.44140625" hidden="1" customWidth="1"/>
    <col min="28" max="28" width="6.44140625" style="11" hidden="1" customWidth="1"/>
    <col min="29" max="29" width="2.44140625" hidden="1" customWidth="1"/>
    <col min="30" max="30" width="6.44140625" style="11" hidden="1" customWidth="1"/>
    <col min="31" max="31" width="2.44140625" hidden="1" customWidth="1"/>
    <col min="32" max="32" width="6.44140625" style="11" hidden="1" customWidth="1"/>
    <col min="33" max="33" width="2.44140625" hidden="1" customWidth="1"/>
    <col min="34" max="34" width="6.44140625" style="11" hidden="1" customWidth="1"/>
    <col min="35" max="35" width="2.44140625" hidden="1" customWidth="1"/>
    <col min="36" max="36" width="12.33203125" style="11" hidden="1" customWidth="1"/>
    <col min="37" max="37" width="1.5546875" hidden="1" customWidth="1"/>
    <col min="38" max="38" width="6.44140625" style="11" hidden="1" customWidth="1"/>
    <col min="39" max="39" width="1.5546875" hidden="1" customWidth="1"/>
    <col min="40" max="40" width="6.44140625" style="11" hidden="1" customWidth="1"/>
    <col min="41" max="41" width="1.5546875" hidden="1" customWidth="1"/>
    <col min="42" max="42" width="6.44140625" style="11" hidden="1" customWidth="1"/>
    <col min="43" max="43" width="1.6640625" style="11" hidden="1" customWidth="1"/>
    <col min="44" max="44" width="6.44140625" style="11" hidden="1" customWidth="1"/>
    <col min="45" max="45" width="3.109375" hidden="1" customWidth="1"/>
    <col min="46" max="46" width="10.33203125" style="11" hidden="1" customWidth="1"/>
    <col min="47" max="47" width="3.109375" hidden="1" customWidth="1"/>
    <col min="48" max="48" width="14.33203125" style="11" hidden="1" customWidth="1"/>
    <col min="49" max="49" width="3.109375" hidden="1" customWidth="1"/>
    <col min="50" max="50" width="14.33203125" style="11" hidden="1" customWidth="1"/>
    <col min="51" max="51" width="3.109375" style="11" hidden="1" customWidth="1"/>
    <col min="52" max="52" width="16.109375" style="11" hidden="1" customWidth="1"/>
    <col min="53" max="53" width="3.109375" style="11" hidden="1" customWidth="1"/>
    <col min="54" max="54" width="16.109375" style="11" customWidth="1"/>
    <col min="55" max="55" width="3.109375" customWidth="1"/>
    <col min="56" max="56" width="16.109375" style="11" customWidth="1"/>
    <col min="57" max="57" width="3.109375" customWidth="1"/>
    <col min="58" max="58" width="16.109375" style="11" customWidth="1"/>
    <col min="59" max="59" width="3.109375" customWidth="1"/>
    <col min="60" max="60" width="16.109375" style="11" customWidth="1"/>
    <col min="61" max="61" width="3.109375" customWidth="1"/>
    <col min="62" max="62" width="16.109375" style="11" customWidth="1"/>
    <col min="63" max="63" width="3.109375" customWidth="1"/>
    <col min="64" max="64" width="6.5546875" customWidth="1"/>
    <col min="66" max="66" width="10.33203125" customWidth="1"/>
  </cols>
  <sheetData>
    <row r="1" spans="1:139" ht="15" customHeight="1">
      <c r="A1" s="4" t="s">
        <v>0</v>
      </c>
      <c r="B1" s="4"/>
      <c r="C1" s="12"/>
      <c r="D1" s="7"/>
      <c r="E1" s="7"/>
      <c r="F1" s="7"/>
      <c r="G1" s="7"/>
      <c r="H1" s="7"/>
      <c r="I1" s="7"/>
      <c r="J1" s="7"/>
      <c r="K1" s="7"/>
      <c r="L1" s="7"/>
      <c r="M1" s="7"/>
      <c r="N1" s="7"/>
      <c r="O1" s="7"/>
      <c r="P1" s="7"/>
      <c r="Q1" s="7"/>
      <c r="R1" s="7"/>
      <c r="S1" s="2"/>
      <c r="T1" s="7"/>
      <c r="U1" s="2"/>
      <c r="V1" s="7"/>
      <c r="W1" s="7"/>
      <c r="X1" s="7"/>
      <c r="Y1" s="2"/>
      <c r="Z1" s="7"/>
      <c r="AA1" s="2"/>
      <c r="AB1" s="7"/>
      <c r="AC1" s="2"/>
      <c r="AD1" s="7"/>
      <c r="AE1" s="2"/>
      <c r="AF1" s="7"/>
      <c r="AG1" s="2"/>
      <c r="AH1" s="7"/>
      <c r="AI1" s="2"/>
      <c r="AJ1" s="7"/>
      <c r="AK1" s="2"/>
      <c r="AL1" s="7"/>
      <c r="AM1" s="2"/>
      <c r="AN1" s="7"/>
      <c r="AO1" s="2"/>
      <c r="AP1" s="7"/>
      <c r="AQ1" s="7"/>
      <c r="AR1" s="7"/>
      <c r="AS1" s="2"/>
      <c r="AT1" s="7"/>
      <c r="AU1" s="2"/>
      <c r="AV1" s="7"/>
      <c r="AW1" s="2"/>
      <c r="AX1" s="7"/>
      <c r="AY1" s="7"/>
      <c r="AZ1" s="7"/>
      <c r="BA1" s="7"/>
      <c r="BB1" s="7"/>
      <c r="BD1" s="7"/>
      <c r="BF1" s="7"/>
      <c r="BH1" s="7"/>
      <c r="BJ1" s="7"/>
    </row>
    <row r="2" spans="1:139" ht="19.2" customHeight="1">
      <c r="A2" s="324" t="s">
        <v>103</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row>
    <row r="3" spans="1:139" ht="10.95" customHeight="1">
      <c r="A3" s="320" t="s">
        <v>91</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row>
    <row r="4" spans="1:139" ht="4.95" customHeight="1">
      <c r="A4" s="23"/>
      <c r="B4" s="23"/>
      <c r="C4" s="6"/>
      <c r="D4" s="9"/>
      <c r="E4" s="9"/>
      <c r="F4" s="9"/>
      <c r="G4" s="9"/>
      <c r="H4" s="9"/>
      <c r="I4" s="9"/>
      <c r="J4" s="9"/>
      <c r="K4" s="9"/>
      <c r="L4" s="9"/>
      <c r="M4" s="9"/>
      <c r="N4" s="9"/>
      <c r="O4" s="9"/>
      <c r="P4" s="9"/>
      <c r="Q4" s="9"/>
      <c r="R4" s="9"/>
      <c r="S4" s="3"/>
      <c r="T4" s="9"/>
      <c r="U4" s="3"/>
      <c r="V4" s="9"/>
      <c r="W4" s="9"/>
      <c r="X4" s="9"/>
      <c r="Y4" s="3"/>
      <c r="Z4" s="25"/>
      <c r="AA4" s="3"/>
      <c r="AB4" s="25"/>
      <c r="AC4" s="3"/>
      <c r="AD4" s="25"/>
      <c r="AE4" s="3"/>
      <c r="AF4" s="25"/>
      <c r="AG4" s="3"/>
      <c r="AH4" s="25"/>
      <c r="AI4" s="3"/>
      <c r="AJ4" s="25"/>
      <c r="AK4" s="3"/>
      <c r="AL4" s="25"/>
      <c r="AM4" s="3"/>
      <c r="AN4" s="25"/>
      <c r="AO4" s="3"/>
      <c r="AP4" s="25"/>
      <c r="AQ4" s="25"/>
      <c r="AR4" s="25"/>
      <c r="AS4" s="3"/>
      <c r="AT4" s="25"/>
      <c r="AU4" s="3"/>
      <c r="AV4" s="25"/>
      <c r="AW4" s="3"/>
      <c r="AX4" s="25"/>
      <c r="AY4" s="25"/>
      <c r="AZ4" s="25"/>
      <c r="BA4" s="25"/>
      <c r="BB4" s="25"/>
      <c r="BD4" s="25"/>
      <c r="BF4" s="25"/>
      <c r="BH4" s="25"/>
      <c r="BJ4" s="25"/>
    </row>
    <row r="5" spans="1:139" s="246" customFormat="1" ht="12.75" customHeight="1">
      <c r="A5" s="239" t="s">
        <v>1</v>
      </c>
      <c r="B5" s="240"/>
      <c r="C5" s="241"/>
      <c r="D5" s="242">
        <v>1992</v>
      </c>
      <c r="E5" s="242"/>
      <c r="F5" s="242">
        <v>1993</v>
      </c>
      <c r="G5" s="242"/>
      <c r="H5" s="242">
        <v>1994</v>
      </c>
      <c r="I5" s="242"/>
      <c r="J5" s="242">
        <v>1995</v>
      </c>
      <c r="K5" s="242"/>
      <c r="L5" s="242">
        <v>1996</v>
      </c>
      <c r="M5" s="242"/>
      <c r="N5" s="242">
        <v>1997</v>
      </c>
      <c r="O5" s="242"/>
      <c r="P5" s="242">
        <v>1998</v>
      </c>
      <c r="Q5" s="242"/>
      <c r="R5" s="242">
        <v>1999</v>
      </c>
      <c r="S5" s="243"/>
      <c r="T5" s="242">
        <v>2000</v>
      </c>
      <c r="U5" s="243"/>
      <c r="V5" s="242">
        <v>2001</v>
      </c>
      <c r="W5" s="242"/>
      <c r="X5" s="242">
        <v>2002</v>
      </c>
      <c r="Y5" s="243"/>
      <c r="Z5" s="242">
        <v>2003</v>
      </c>
      <c r="AA5" s="243"/>
      <c r="AB5" s="242">
        <v>2004</v>
      </c>
      <c r="AC5" s="243"/>
      <c r="AD5" s="242">
        <v>2005</v>
      </c>
      <c r="AE5" s="243"/>
      <c r="AF5" s="242">
        <v>2006</v>
      </c>
      <c r="AG5" s="243"/>
      <c r="AH5" s="242">
        <v>2007</v>
      </c>
      <c r="AI5" s="243"/>
      <c r="AJ5" s="244">
        <v>2008</v>
      </c>
      <c r="AK5" s="245"/>
      <c r="AL5" s="244">
        <v>2009</v>
      </c>
      <c r="AM5" s="245"/>
      <c r="AN5" s="244">
        <v>2010</v>
      </c>
      <c r="AO5" s="245"/>
      <c r="AP5" s="244">
        <v>2011</v>
      </c>
      <c r="AQ5" s="244"/>
      <c r="AR5" s="244">
        <v>2012</v>
      </c>
      <c r="AS5" s="245"/>
      <c r="AT5" s="242">
        <v>2013</v>
      </c>
      <c r="AU5" s="243"/>
      <c r="AV5" s="242" t="s">
        <v>90</v>
      </c>
      <c r="AW5" s="243"/>
      <c r="AX5" s="242">
        <v>2015</v>
      </c>
      <c r="AY5" s="242"/>
      <c r="AZ5" s="242">
        <v>2016</v>
      </c>
      <c r="BA5" s="242"/>
      <c r="BB5" s="242">
        <v>2017</v>
      </c>
      <c r="BC5" s="207"/>
      <c r="BD5" s="242">
        <v>2018</v>
      </c>
      <c r="BE5" s="207"/>
      <c r="BF5" s="242">
        <v>2019</v>
      </c>
      <c r="BG5" s="207"/>
      <c r="BH5" s="242">
        <v>2020</v>
      </c>
      <c r="BI5" s="207"/>
      <c r="BJ5" s="242">
        <v>2021</v>
      </c>
      <c r="BK5" s="207"/>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row>
    <row r="6" spans="1:139" s="246" customFormat="1" ht="12" customHeight="1">
      <c r="A6" s="326" t="s">
        <v>92</v>
      </c>
      <c r="B6" s="326"/>
      <c r="C6" s="326"/>
      <c r="D6" s="248">
        <v>27.8</v>
      </c>
      <c r="E6" s="248"/>
      <c r="F6" s="248">
        <v>28.4</v>
      </c>
      <c r="G6" s="248"/>
      <c r="H6" s="248">
        <v>29</v>
      </c>
      <c r="I6" s="248"/>
      <c r="J6" s="248">
        <v>27.9</v>
      </c>
      <c r="K6" s="248"/>
      <c r="L6" s="248">
        <v>28.3</v>
      </c>
      <c r="M6" s="248"/>
      <c r="N6" s="248">
        <v>27</v>
      </c>
      <c r="O6" s="248"/>
      <c r="P6" s="248">
        <v>26.7</v>
      </c>
      <c r="Q6" s="248"/>
      <c r="R6" s="248">
        <v>25.31548757170172</v>
      </c>
      <c r="S6" s="247"/>
      <c r="T6" s="248">
        <v>27.2</v>
      </c>
      <c r="U6" s="247"/>
      <c r="V6" s="248">
        <v>28.3</v>
      </c>
      <c r="W6" s="248"/>
      <c r="X6" s="248">
        <v>27.9</v>
      </c>
      <c r="Y6" s="247"/>
      <c r="Z6" s="248">
        <v>25.4</v>
      </c>
      <c r="AA6" s="247"/>
      <c r="AB6" s="248">
        <v>26.3</v>
      </c>
      <c r="AC6" s="247"/>
      <c r="AD6" s="248">
        <v>24.7</v>
      </c>
      <c r="AE6" s="247"/>
      <c r="AF6" s="248">
        <v>25.3</v>
      </c>
      <c r="AG6" s="247"/>
      <c r="AH6" s="248">
        <v>24.6</v>
      </c>
      <c r="AI6" s="247"/>
      <c r="AJ6" s="248">
        <v>26.7</v>
      </c>
      <c r="AK6" s="247"/>
      <c r="AL6" s="248">
        <v>27.7</v>
      </c>
      <c r="AM6" s="247"/>
      <c r="AN6" s="248">
        <v>30</v>
      </c>
      <c r="AO6" s="247"/>
      <c r="AP6" s="248">
        <v>29.6</v>
      </c>
      <c r="AQ6" s="248"/>
      <c r="AR6" s="249">
        <v>31.4</v>
      </c>
      <c r="AS6" s="250"/>
      <c r="AT6" s="249">
        <v>33.6</v>
      </c>
      <c r="AU6" s="250"/>
      <c r="AV6" s="249">
        <v>34.799999999999997</v>
      </c>
      <c r="AW6" s="250"/>
      <c r="AX6" s="249">
        <v>34.299999999999997</v>
      </c>
      <c r="AY6" s="249"/>
      <c r="AZ6" s="249">
        <v>35.299999999999997</v>
      </c>
      <c r="BA6" s="249"/>
      <c r="BB6" s="249">
        <v>34.1</v>
      </c>
      <c r="BC6"/>
      <c r="BD6" s="249">
        <v>33</v>
      </c>
      <c r="BE6"/>
      <c r="BF6" s="249">
        <v>31.3</v>
      </c>
      <c r="BG6"/>
      <c r="BH6" s="249">
        <v>28.9</v>
      </c>
      <c r="BI6"/>
      <c r="BJ6" s="249">
        <v>28.5</v>
      </c>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row>
    <row r="7" spans="1:139" s="276" customFormat="1" ht="12.9" customHeight="1">
      <c r="A7" s="273"/>
      <c r="B7" s="272" t="s">
        <v>2</v>
      </c>
      <c r="C7" s="273"/>
      <c r="D7" s="274">
        <v>31.1</v>
      </c>
      <c r="E7" s="274"/>
      <c r="F7" s="274">
        <v>32.299999999999997</v>
      </c>
      <c r="G7" s="274"/>
      <c r="H7" s="274">
        <v>33.5</v>
      </c>
      <c r="I7" s="274"/>
      <c r="J7" s="274">
        <v>32.5</v>
      </c>
      <c r="K7" s="274"/>
      <c r="L7" s="274">
        <v>32.5</v>
      </c>
      <c r="M7" s="274"/>
      <c r="N7" s="274">
        <v>31.5</v>
      </c>
      <c r="O7" s="274"/>
      <c r="P7" s="274">
        <v>31.4</v>
      </c>
      <c r="Q7" s="274"/>
      <c r="R7" s="274">
        <v>29.618138424821002</v>
      </c>
      <c r="S7" s="273"/>
      <c r="T7" s="274">
        <v>30.7</v>
      </c>
      <c r="U7" s="273"/>
      <c r="V7" s="274">
        <v>32.200000000000003</v>
      </c>
      <c r="W7" s="274"/>
      <c r="X7" s="274">
        <v>31.2</v>
      </c>
      <c r="Y7" s="273"/>
      <c r="Z7" s="274">
        <v>28.8</v>
      </c>
      <c r="AA7" s="273"/>
      <c r="AB7" s="274">
        <v>29.3</v>
      </c>
      <c r="AC7" s="273"/>
      <c r="AD7" s="274">
        <v>27.7</v>
      </c>
      <c r="AE7" s="273"/>
      <c r="AF7" s="274">
        <v>29.2</v>
      </c>
      <c r="AG7" s="273"/>
      <c r="AH7" s="274">
        <v>29.7</v>
      </c>
      <c r="AI7" s="273"/>
      <c r="AJ7" s="274">
        <v>31.8</v>
      </c>
      <c r="AK7" s="273"/>
      <c r="AL7" s="274">
        <v>32.9</v>
      </c>
      <c r="AM7" s="273"/>
      <c r="AN7" s="274">
        <v>35.6</v>
      </c>
      <c r="AO7" s="273"/>
      <c r="AP7" s="274">
        <v>35</v>
      </c>
      <c r="AQ7" s="274"/>
      <c r="AR7" s="274">
        <v>36.5</v>
      </c>
      <c r="AS7" s="273"/>
      <c r="AT7" s="274">
        <v>39.1</v>
      </c>
      <c r="AU7" s="273"/>
      <c r="AV7" s="274">
        <v>39.799999999999997</v>
      </c>
      <c r="AW7" s="273"/>
      <c r="AX7" s="274">
        <v>40.6</v>
      </c>
      <c r="AY7" s="274"/>
      <c r="AZ7" s="274">
        <v>40</v>
      </c>
      <c r="BA7" s="274"/>
      <c r="BB7" s="274">
        <v>40.1</v>
      </c>
      <c r="BC7" s="275"/>
      <c r="BD7" s="274">
        <v>38.299999999999997</v>
      </c>
      <c r="BE7" s="275"/>
      <c r="BF7" s="274">
        <v>36.4</v>
      </c>
      <c r="BG7" s="275"/>
      <c r="BH7" s="274">
        <v>33.799999999999997</v>
      </c>
      <c r="BI7" s="275"/>
      <c r="BJ7" s="274">
        <v>32.4</v>
      </c>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5"/>
      <c r="CO7" s="275"/>
      <c r="CP7" s="275"/>
      <c r="CQ7" s="275"/>
      <c r="CR7" s="275"/>
      <c r="CS7" s="275"/>
      <c r="CT7" s="275"/>
      <c r="CU7" s="275"/>
      <c r="CV7" s="275"/>
      <c r="CW7" s="275"/>
      <c r="CX7" s="275"/>
      <c r="CY7" s="275"/>
      <c r="CZ7" s="275"/>
      <c r="DA7" s="275"/>
      <c r="DB7" s="275"/>
      <c r="DC7" s="275"/>
      <c r="DD7" s="275"/>
      <c r="DE7" s="275"/>
      <c r="DF7" s="275"/>
      <c r="DG7" s="275"/>
      <c r="DH7" s="275"/>
      <c r="DI7" s="275"/>
      <c r="DJ7" s="275"/>
      <c r="DK7" s="275"/>
      <c r="DL7" s="275"/>
      <c r="DM7" s="275"/>
      <c r="DN7" s="275"/>
      <c r="DO7" s="275"/>
      <c r="DP7" s="275"/>
      <c r="DQ7" s="275"/>
      <c r="DR7" s="275"/>
      <c r="DS7" s="275"/>
      <c r="DT7" s="275"/>
      <c r="DU7" s="275"/>
      <c r="DV7" s="275"/>
      <c r="DW7" s="275"/>
      <c r="DX7" s="275"/>
      <c r="DY7" s="275"/>
      <c r="DZ7" s="275"/>
      <c r="EA7" s="275"/>
      <c r="EB7" s="275"/>
      <c r="EC7" s="275"/>
      <c r="ED7" s="275"/>
      <c r="EE7" s="275"/>
      <c r="EF7" s="275"/>
      <c r="EG7" s="275"/>
      <c r="EH7" s="275"/>
      <c r="EI7" s="275"/>
    </row>
    <row r="8" spans="1:139" s="191" customFormat="1" ht="12.6" customHeight="1">
      <c r="A8" s="255"/>
      <c r="B8" s="256"/>
      <c r="C8" s="257" t="s">
        <v>75</v>
      </c>
      <c r="D8" s="258"/>
      <c r="E8" s="259"/>
      <c r="F8" s="258"/>
      <c r="G8" s="259"/>
      <c r="H8" s="259"/>
      <c r="I8" s="259"/>
      <c r="J8" s="259"/>
      <c r="K8" s="259"/>
      <c r="L8" s="259"/>
      <c r="M8" s="259"/>
      <c r="N8" s="259"/>
      <c r="O8" s="259"/>
      <c r="P8" s="259"/>
      <c r="Q8" s="259"/>
      <c r="R8" s="259"/>
      <c r="S8" s="258"/>
      <c r="T8" s="259"/>
      <c r="U8" s="258"/>
      <c r="V8" s="259"/>
      <c r="W8" s="259"/>
      <c r="X8" s="259"/>
      <c r="Y8" s="258"/>
      <c r="Z8" s="259"/>
      <c r="AA8" s="258"/>
      <c r="AB8" s="259"/>
      <c r="AC8" s="258"/>
      <c r="AD8" s="259"/>
      <c r="AE8" s="258"/>
      <c r="AF8" s="259"/>
      <c r="AG8" s="258"/>
      <c r="AH8" s="259"/>
      <c r="AI8" s="258"/>
      <c r="AJ8" s="259"/>
      <c r="AK8" s="258"/>
      <c r="AL8" s="259"/>
      <c r="AM8" s="258"/>
      <c r="AN8" s="259"/>
      <c r="AO8" s="258"/>
      <c r="AP8" s="259"/>
      <c r="AQ8" s="259"/>
      <c r="AR8" s="259">
        <v>50.5</v>
      </c>
      <c r="AS8" s="258"/>
      <c r="AT8" s="259">
        <v>51.9</v>
      </c>
      <c r="AU8" s="259"/>
      <c r="AV8" s="259">
        <v>53.1</v>
      </c>
      <c r="AW8" s="258"/>
      <c r="AX8" s="259">
        <v>52.8</v>
      </c>
      <c r="AY8" s="259"/>
      <c r="AZ8" s="259">
        <v>52</v>
      </c>
      <c r="BA8" s="259"/>
      <c r="BB8" s="259">
        <v>54.3</v>
      </c>
      <c r="BC8" s="278"/>
      <c r="BD8" s="259">
        <v>48.2</v>
      </c>
      <c r="BE8" s="259"/>
      <c r="BF8" s="259">
        <v>48.6</v>
      </c>
      <c r="BG8" s="259"/>
      <c r="BH8" s="259">
        <v>41.8</v>
      </c>
      <c r="BI8" s="259"/>
      <c r="BJ8" s="259">
        <v>42</v>
      </c>
      <c r="BK8" s="279"/>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row>
    <row r="9" spans="1:139" s="191" customFormat="1" ht="12.6" customHeight="1">
      <c r="A9" s="255"/>
      <c r="B9" s="256"/>
      <c r="C9" s="257" t="s">
        <v>76</v>
      </c>
      <c r="D9" s="258"/>
      <c r="E9" s="259"/>
      <c r="F9" s="258"/>
      <c r="G9" s="259"/>
      <c r="H9" s="259"/>
      <c r="I9" s="259"/>
      <c r="J9" s="259"/>
      <c r="K9" s="259"/>
      <c r="L9" s="259"/>
      <c r="M9" s="259"/>
      <c r="N9" s="259"/>
      <c r="O9" s="259"/>
      <c r="P9" s="259"/>
      <c r="Q9" s="259"/>
      <c r="R9" s="259"/>
      <c r="S9" s="258"/>
      <c r="T9" s="259"/>
      <c r="U9" s="258"/>
      <c r="V9" s="259"/>
      <c r="W9" s="259"/>
      <c r="X9" s="259"/>
      <c r="Y9" s="258"/>
      <c r="Z9" s="259"/>
      <c r="AA9" s="258"/>
      <c r="AB9" s="259"/>
      <c r="AC9" s="258"/>
      <c r="AD9" s="259"/>
      <c r="AE9" s="258"/>
      <c r="AF9" s="259"/>
      <c r="AG9" s="258"/>
      <c r="AH9" s="259"/>
      <c r="AI9" s="258"/>
      <c r="AJ9" s="259"/>
      <c r="AK9" s="258"/>
      <c r="AL9" s="259"/>
      <c r="AM9" s="258"/>
      <c r="AN9" s="259"/>
      <c r="AO9" s="258"/>
      <c r="AP9" s="259"/>
      <c r="AQ9" s="259"/>
      <c r="AR9" s="259">
        <v>27.2</v>
      </c>
      <c r="AS9" s="258"/>
      <c r="AT9" s="259">
        <v>29.6</v>
      </c>
      <c r="AU9" s="259"/>
      <c r="AV9" s="259">
        <v>30.8</v>
      </c>
      <c r="AW9" s="258"/>
      <c r="AX9" s="259">
        <v>31.5</v>
      </c>
      <c r="AY9" s="259"/>
      <c r="AZ9" s="259">
        <v>31.6</v>
      </c>
      <c r="BA9" s="259"/>
      <c r="BB9" s="259">
        <v>31.2</v>
      </c>
      <c r="BC9" s="278"/>
      <c r="BD9" s="259">
        <v>31.7</v>
      </c>
      <c r="BE9" s="278"/>
      <c r="BF9" s="259">
        <v>29.2</v>
      </c>
      <c r="BG9" s="278"/>
      <c r="BH9" s="259">
        <v>28.2</v>
      </c>
      <c r="BI9" s="278"/>
      <c r="BJ9" s="259">
        <v>26.3</v>
      </c>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row>
    <row r="10" spans="1:139" s="276" customFormat="1" ht="12.9" customHeight="1">
      <c r="A10" s="271"/>
      <c r="B10" s="272" t="s">
        <v>3</v>
      </c>
      <c r="C10" s="273"/>
      <c r="D10" s="274">
        <v>11.4</v>
      </c>
      <c r="E10" s="274"/>
      <c r="F10" s="274">
        <v>11.9</v>
      </c>
      <c r="G10" s="274"/>
      <c r="H10" s="274">
        <v>10.6</v>
      </c>
      <c r="I10" s="274"/>
      <c r="J10" s="274">
        <v>10.6</v>
      </c>
      <c r="K10" s="274"/>
      <c r="L10" s="274">
        <v>10.4</v>
      </c>
      <c r="M10" s="274"/>
      <c r="N10" s="274">
        <v>9.6</v>
      </c>
      <c r="O10" s="274"/>
      <c r="P10" s="274">
        <v>7.8</v>
      </c>
      <c r="Q10" s="274"/>
      <c r="R10" s="274">
        <v>7.9807692307692308</v>
      </c>
      <c r="S10" s="273"/>
      <c r="T10" s="274">
        <v>10</v>
      </c>
      <c r="U10" s="273"/>
      <c r="V10" s="274">
        <v>9.6999999999999993</v>
      </c>
      <c r="W10" s="274"/>
      <c r="X10" s="274">
        <v>9.8000000000000007</v>
      </c>
      <c r="Y10" s="273"/>
      <c r="Z10" s="274">
        <v>9.4</v>
      </c>
      <c r="AA10" s="273"/>
      <c r="AB10" s="274">
        <v>10</v>
      </c>
      <c r="AC10" s="273"/>
      <c r="AD10" s="274">
        <v>10.199999999999999</v>
      </c>
      <c r="AE10" s="273"/>
      <c r="AF10" s="274">
        <v>8.3000000000000007</v>
      </c>
      <c r="AG10" s="273"/>
      <c r="AH10" s="274">
        <v>7.5</v>
      </c>
      <c r="AI10" s="273"/>
      <c r="AJ10" s="274">
        <v>8.4</v>
      </c>
      <c r="AK10" s="273"/>
      <c r="AL10" s="274">
        <v>9.3000000000000007</v>
      </c>
      <c r="AM10" s="273"/>
      <c r="AN10" s="274">
        <v>9.3000000000000007</v>
      </c>
      <c r="AO10" s="273"/>
      <c r="AP10" s="274">
        <v>9.1999999999999993</v>
      </c>
      <c r="AQ10" s="274"/>
      <c r="AR10" s="274">
        <v>10</v>
      </c>
      <c r="AS10" s="273"/>
      <c r="AT10" s="274">
        <v>10.8</v>
      </c>
      <c r="AU10" s="273"/>
      <c r="AV10" s="274">
        <v>11.1</v>
      </c>
      <c r="AW10" s="273"/>
      <c r="AX10" s="274">
        <v>9.8000000000000007</v>
      </c>
      <c r="AY10" s="274"/>
      <c r="AZ10" s="274">
        <v>10.6</v>
      </c>
      <c r="BA10" s="274"/>
      <c r="BB10" s="274">
        <v>9.1999999999999993</v>
      </c>
      <c r="BC10" s="277"/>
      <c r="BD10" s="274">
        <v>9.1</v>
      </c>
      <c r="BE10" s="277"/>
      <c r="BF10" s="274">
        <v>8.6</v>
      </c>
      <c r="BG10" s="277"/>
      <c r="BH10" s="274">
        <v>7.1</v>
      </c>
      <c r="BI10" s="277"/>
      <c r="BJ10" s="274">
        <v>7.5</v>
      </c>
      <c r="BK10" s="277"/>
      <c r="BL10" s="275"/>
      <c r="BM10" s="283"/>
      <c r="BN10" s="275"/>
      <c r="BO10" s="275"/>
      <c r="BP10" s="275"/>
      <c r="BQ10" s="275"/>
      <c r="BR10" s="275"/>
      <c r="BS10" s="275"/>
      <c r="BT10" s="275"/>
      <c r="BU10" s="275"/>
      <c r="BV10" s="275"/>
      <c r="BW10" s="275"/>
      <c r="BX10" s="275"/>
      <c r="BY10" s="275"/>
      <c r="BZ10" s="275"/>
      <c r="CA10" s="275"/>
      <c r="CB10" s="275"/>
      <c r="CC10" s="275"/>
      <c r="CD10" s="275"/>
      <c r="CE10" s="275"/>
      <c r="CF10" s="275"/>
      <c r="CG10" s="275"/>
      <c r="CH10" s="275"/>
      <c r="CI10" s="275"/>
      <c r="CJ10" s="275"/>
      <c r="CK10" s="275"/>
      <c r="CL10" s="275"/>
      <c r="CM10" s="275"/>
      <c r="CN10" s="275"/>
      <c r="CO10" s="275"/>
      <c r="CP10" s="275"/>
      <c r="CQ10" s="275"/>
      <c r="CR10" s="275"/>
      <c r="CS10" s="275"/>
      <c r="CT10" s="275"/>
      <c r="CU10" s="275"/>
      <c r="CV10" s="275"/>
      <c r="CW10" s="275"/>
      <c r="CX10" s="275"/>
      <c r="CY10" s="275"/>
      <c r="CZ10" s="275"/>
      <c r="DA10" s="275"/>
      <c r="DB10" s="275"/>
      <c r="DC10" s="275"/>
      <c r="DD10" s="275"/>
      <c r="DE10" s="275"/>
      <c r="DF10" s="275"/>
      <c r="DG10" s="275"/>
      <c r="DH10" s="275"/>
      <c r="DI10" s="275"/>
      <c r="DJ10" s="275"/>
      <c r="DK10" s="275"/>
      <c r="DL10" s="275"/>
      <c r="DM10" s="275"/>
      <c r="DN10" s="275"/>
      <c r="DO10" s="275"/>
      <c r="DP10" s="275"/>
      <c r="DQ10" s="275"/>
      <c r="DR10" s="275"/>
      <c r="DS10" s="275"/>
      <c r="DT10" s="275"/>
      <c r="DU10" s="275"/>
      <c r="DV10" s="275"/>
      <c r="DW10" s="275"/>
      <c r="DX10" s="275"/>
      <c r="DY10" s="275"/>
      <c r="DZ10" s="275"/>
      <c r="EA10" s="275"/>
      <c r="EB10" s="275"/>
      <c r="EC10" s="275"/>
      <c r="ED10" s="275"/>
      <c r="EE10" s="275"/>
      <c r="EF10" s="275"/>
      <c r="EG10" s="275"/>
      <c r="EH10" s="275"/>
      <c r="EI10" s="275"/>
    </row>
    <row r="11" spans="1:139" s="246" customFormat="1" ht="12" customHeight="1">
      <c r="A11" s="326" t="s">
        <v>93</v>
      </c>
      <c r="B11" s="326"/>
      <c r="C11" s="326"/>
      <c r="D11" s="248">
        <v>57.1</v>
      </c>
      <c r="E11" s="248"/>
      <c r="F11" s="248">
        <v>55.1</v>
      </c>
      <c r="G11" s="248"/>
      <c r="H11" s="248">
        <v>52.9</v>
      </c>
      <c r="I11" s="248"/>
      <c r="J11" s="248">
        <v>54.4</v>
      </c>
      <c r="K11" s="248"/>
      <c r="L11" s="248">
        <v>57.9</v>
      </c>
      <c r="M11" s="248"/>
      <c r="N11" s="248">
        <v>52.3</v>
      </c>
      <c r="O11" s="248"/>
      <c r="P11" s="248">
        <v>59.9</v>
      </c>
      <c r="Q11" s="248"/>
      <c r="R11" s="248">
        <v>57.116279069767444</v>
      </c>
      <c r="S11" s="247"/>
      <c r="T11" s="248">
        <v>65.3</v>
      </c>
      <c r="U11" s="247"/>
      <c r="V11" s="248">
        <v>63.6</v>
      </c>
      <c r="W11" s="248"/>
      <c r="X11" s="248">
        <v>61.2</v>
      </c>
      <c r="Y11" s="247"/>
      <c r="Z11" s="248">
        <v>61.9</v>
      </c>
      <c r="AA11" s="247"/>
      <c r="AB11" s="248">
        <v>61.2</v>
      </c>
      <c r="AC11" s="247"/>
      <c r="AD11" s="248">
        <v>60.5</v>
      </c>
      <c r="AE11" s="247"/>
      <c r="AF11" s="248">
        <v>57.8</v>
      </c>
      <c r="AG11" s="247"/>
      <c r="AH11" s="248">
        <v>58.1</v>
      </c>
      <c r="AI11" s="247"/>
      <c r="AJ11" s="248">
        <v>59.2</v>
      </c>
      <c r="AK11" s="247"/>
      <c r="AL11" s="248">
        <v>55.2</v>
      </c>
      <c r="AM11" s="247"/>
      <c r="AN11" s="248">
        <v>50.6</v>
      </c>
      <c r="AO11" s="247"/>
      <c r="AP11" s="248">
        <v>53</v>
      </c>
      <c r="AQ11" s="248"/>
      <c r="AR11" s="249">
        <v>51.7</v>
      </c>
      <c r="AS11" s="250"/>
      <c r="AT11" s="249">
        <v>52.1</v>
      </c>
      <c r="AU11" s="250"/>
      <c r="AV11" s="249">
        <v>50</v>
      </c>
      <c r="AW11" s="250"/>
      <c r="AX11" s="249">
        <v>49.9</v>
      </c>
      <c r="AY11" s="249"/>
      <c r="AZ11" s="249">
        <v>49.8</v>
      </c>
      <c r="BA11" s="249"/>
      <c r="BB11" s="249">
        <v>50.8</v>
      </c>
      <c r="BC11"/>
      <c r="BD11" s="249">
        <v>47.4</v>
      </c>
      <c r="BE11"/>
      <c r="BF11" s="249">
        <v>44.8</v>
      </c>
      <c r="BG11"/>
      <c r="BH11" s="249">
        <v>47</v>
      </c>
      <c r="BI11"/>
      <c r="BJ11" s="249">
        <v>43.5</v>
      </c>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row>
    <row r="12" spans="1:139" s="276" customFormat="1" ht="12.9" customHeight="1">
      <c r="A12" s="273"/>
      <c r="B12" s="272" t="s">
        <v>2</v>
      </c>
      <c r="C12" s="273"/>
      <c r="D12" s="274">
        <v>62.3</v>
      </c>
      <c r="E12" s="274"/>
      <c r="F12" s="274">
        <v>60.2</v>
      </c>
      <c r="G12" s="274"/>
      <c r="H12" s="274">
        <v>62.8</v>
      </c>
      <c r="I12" s="274"/>
      <c r="J12" s="274">
        <v>62.6</v>
      </c>
      <c r="K12" s="274"/>
      <c r="L12" s="274">
        <v>68.5</v>
      </c>
      <c r="M12" s="274"/>
      <c r="N12" s="274">
        <v>62.5</v>
      </c>
      <c r="O12" s="274"/>
      <c r="P12" s="274">
        <v>70.400000000000006</v>
      </c>
      <c r="Q12" s="274"/>
      <c r="R12" s="274">
        <v>68.115384615384613</v>
      </c>
      <c r="S12" s="273"/>
      <c r="T12" s="274">
        <v>77.2</v>
      </c>
      <c r="U12" s="273"/>
      <c r="V12" s="274">
        <v>77.099999999999994</v>
      </c>
      <c r="W12" s="274"/>
      <c r="X12" s="274">
        <v>73.3</v>
      </c>
      <c r="Y12" s="273"/>
      <c r="Z12" s="274">
        <v>74.5</v>
      </c>
      <c r="AA12" s="273"/>
      <c r="AB12" s="274">
        <v>72.3</v>
      </c>
      <c r="AC12" s="273"/>
      <c r="AD12" s="274">
        <v>68.099999999999994</v>
      </c>
      <c r="AE12" s="273"/>
      <c r="AF12" s="274">
        <v>66.900000000000006</v>
      </c>
      <c r="AG12" s="273"/>
      <c r="AH12" s="274">
        <v>66.599999999999994</v>
      </c>
      <c r="AI12" s="273"/>
      <c r="AJ12" s="274">
        <v>68.900000000000006</v>
      </c>
      <c r="AK12" s="273"/>
      <c r="AL12" s="274">
        <v>63.7</v>
      </c>
      <c r="AM12" s="273"/>
      <c r="AN12" s="274">
        <v>56.2</v>
      </c>
      <c r="AO12" s="273"/>
      <c r="AP12" s="274">
        <v>59.1</v>
      </c>
      <c r="AQ12" s="274"/>
      <c r="AR12" s="274">
        <v>57.8</v>
      </c>
      <c r="AS12" s="273"/>
      <c r="AT12" s="274">
        <v>56.6</v>
      </c>
      <c r="AU12" s="273"/>
      <c r="AV12" s="274">
        <v>53.8</v>
      </c>
      <c r="AW12" s="273"/>
      <c r="AX12" s="274">
        <v>54.7</v>
      </c>
      <c r="AY12" s="274"/>
      <c r="AZ12" s="274">
        <v>54.9</v>
      </c>
      <c r="BA12" s="274"/>
      <c r="BB12" s="274">
        <v>55.6</v>
      </c>
      <c r="BC12" s="275"/>
      <c r="BD12" s="274">
        <v>52.6</v>
      </c>
      <c r="BE12" s="275"/>
      <c r="BF12" s="274">
        <v>50.7</v>
      </c>
      <c r="BG12" s="275"/>
      <c r="BH12" s="274">
        <v>52</v>
      </c>
      <c r="BI12" s="275"/>
      <c r="BJ12" s="274">
        <v>49.1</v>
      </c>
      <c r="BK12" s="275"/>
      <c r="BL12" s="275"/>
      <c r="BM12" s="275"/>
      <c r="BN12" s="275"/>
      <c r="BO12" s="275"/>
      <c r="BP12" s="275"/>
      <c r="BQ12" s="275"/>
      <c r="BR12" s="275"/>
      <c r="BS12" s="275"/>
      <c r="BT12" s="275"/>
      <c r="BU12" s="275"/>
      <c r="BV12" s="275"/>
      <c r="BW12" s="275"/>
      <c r="BX12" s="275"/>
      <c r="BY12" s="275"/>
      <c r="BZ12" s="275"/>
      <c r="CA12" s="275"/>
      <c r="CB12" s="275"/>
      <c r="CC12" s="275"/>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75"/>
      <c r="EC12" s="275"/>
      <c r="ED12" s="275"/>
      <c r="EE12" s="275"/>
      <c r="EF12" s="275"/>
      <c r="EG12" s="275"/>
      <c r="EH12" s="275"/>
      <c r="EI12" s="275"/>
    </row>
    <row r="13" spans="1:139" s="191" customFormat="1" ht="12.6" customHeight="1">
      <c r="A13" s="255"/>
      <c r="B13" s="256"/>
      <c r="C13" s="257" t="s">
        <v>75</v>
      </c>
      <c r="D13" s="258"/>
      <c r="E13" s="259"/>
      <c r="F13" s="258"/>
      <c r="G13" s="259"/>
      <c r="H13" s="259"/>
      <c r="I13" s="259"/>
      <c r="J13" s="259"/>
      <c r="K13" s="259"/>
      <c r="L13" s="259"/>
      <c r="M13" s="259"/>
      <c r="N13" s="259"/>
      <c r="O13" s="259"/>
      <c r="P13" s="259"/>
      <c r="Q13" s="259"/>
      <c r="R13" s="259"/>
      <c r="S13" s="258"/>
      <c r="T13" s="259"/>
      <c r="U13" s="258"/>
      <c r="V13" s="259"/>
      <c r="W13" s="259"/>
      <c r="X13" s="259"/>
      <c r="Y13" s="258"/>
      <c r="Z13" s="259"/>
      <c r="AA13" s="258"/>
      <c r="AB13" s="259"/>
      <c r="AC13" s="258"/>
      <c r="AD13" s="259"/>
      <c r="AE13" s="258"/>
      <c r="AF13" s="259"/>
      <c r="AG13" s="258"/>
      <c r="AH13" s="259"/>
      <c r="AI13" s="258"/>
      <c r="AJ13" s="259"/>
      <c r="AK13" s="258"/>
      <c r="AL13" s="259"/>
      <c r="AM13" s="258"/>
      <c r="AN13" s="259"/>
      <c r="AO13" s="258"/>
      <c r="AP13" s="259"/>
      <c r="AQ13" s="259"/>
      <c r="AR13" s="259">
        <v>94.5</v>
      </c>
      <c r="AS13" s="258"/>
      <c r="AT13" s="259">
        <v>81.599999999999994</v>
      </c>
      <c r="AU13" s="259"/>
      <c r="AV13" s="259">
        <v>76.7</v>
      </c>
      <c r="AW13" s="258"/>
      <c r="AX13" s="259">
        <v>83.2</v>
      </c>
      <c r="AY13" s="259"/>
      <c r="AZ13" s="259">
        <v>80.3</v>
      </c>
      <c r="BA13" s="259"/>
      <c r="BB13" s="259">
        <v>82.3</v>
      </c>
      <c r="BC13" s="278"/>
      <c r="BD13" s="259">
        <v>75.400000000000006</v>
      </c>
      <c r="BE13" s="278"/>
      <c r="BF13" s="259">
        <v>74.8</v>
      </c>
      <c r="BG13" s="278"/>
      <c r="BH13" s="259">
        <v>72.099999999999994</v>
      </c>
      <c r="BI13" s="278"/>
      <c r="BJ13" s="259">
        <v>80</v>
      </c>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row>
    <row r="14" spans="1:139" s="191" customFormat="1" ht="12.6" customHeight="1">
      <c r="A14" s="255"/>
      <c r="B14" s="256"/>
      <c r="C14" s="257" t="s">
        <v>76</v>
      </c>
      <c r="D14" s="258"/>
      <c r="E14" s="259"/>
      <c r="F14" s="258"/>
      <c r="G14" s="259"/>
      <c r="H14" s="259"/>
      <c r="I14" s="259"/>
      <c r="J14" s="259"/>
      <c r="K14" s="259"/>
      <c r="L14" s="259"/>
      <c r="M14" s="259"/>
      <c r="N14" s="259"/>
      <c r="O14" s="259"/>
      <c r="P14" s="259"/>
      <c r="Q14" s="259"/>
      <c r="R14" s="259"/>
      <c r="S14" s="258"/>
      <c r="T14" s="259"/>
      <c r="U14" s="258"/>
      <c r="V14" s="259"/>
      <c r="W14" s="259"/>
      <c r="X14" s="259"/>
      <c r="Y14" s="258"/>
      <c r="Z14" s="259"/>
      <c r="AA14" s="258"/>
      <c r="AB14" s="259"/>
      <c r="AC14" s="258"/>
      <c r="AD14" s="259"/>
      <c r="AE14" s="258"/>
      <c r="AF14" s="259"/>
      <c r="AG14" s="258"/>
      <c r="AH14" s="259"/>
      <c r="AI14" s="258"/>
      <c r="AJ14" s="259"/>
      <c r="AK14" s="258"/>
      <c r="AL14" s="259"/>
      <c r="AM14" s="258"/>
      <c r="AN14" s="259"/>
      <c r="AO14" s="258"/>
      <c r="AP14" s="259"/>
      <c r="AQ14" s="259"/>
      <c r="AR14" s="259">
        <v>45.1</v>
      </c>
      <c r="AS14" s="258"/>
      <c r="AT14" s="259">
        <v>46.2</v>
      </c>
      <c r="AU14" s="259"/>
      <c r="AV14" s="259">
        <v>45.9</v>
      </c>
      <c r="AW14" s="258"/>
      <c r="AX14" s="259">
        <v>45.4</v>
      </c>
      <c r="AY14" s="259"/>
      <c r="AZ14" s="259">
        <v>46.8</v>
      </c>
      <c r="BA14" s="259"/>
      <c r="BB14" s="259">
        <v>47.4</v>
      </c>
      <c r="BC14" s="278"/>
      <c r="BD14" s="259">
        <v>45.8</v>
      </c>
      <c r="BE14" s="278"/>
      <c r="BF14" s="259">
        <v>43.8</v>
      </c>
      <c r="BG14" s="278"/>
      <c r="BH14" s="259">
        <v>46.1</v>
      </c>
      <c r="BI14" s="278"/>
      <c r="BJ14" s="259">
        <v>42.5</v>
      </c>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row>
    <row r="15" spans="1:139" s="276" customFormat="1" ht="12.9" customHeight="1">
      <c r="A15" s="271"/>
      <c r="B15" s="272" t="s">
        <v>3</v>
      </c>
      <c r="C15" s="273"/>
      <c r="D15" s="274">
        <v>31.3</v>
      </c>
      <c r="E15" s="274"/>
      <c r="F15" s="274">
        <v>33.799999999999997</v>
      </c>
      <c r="G15" s="274"/>
      <c r="H15" s="274">
        <v>24</v>
      </c>
      <c r="I15" s="274"/>
      <c r="J15" s="274">
        <v>30.1</v>
      </c>
      <c r="K15" s="274"/>
      <c r="L15" s="274">
        <v>28.4</v>
      </c>
      <c r="M15" s="274"/>
      <c r="N15" s="274">
        <v>23.6</v>
      </c>
      <c r="O15" s="274"/>
      <c r="P15" s="274">
        <v>27.2</v>
      </c>
      <c r="Q15" s="274"/>
      <c r="R15" s="274">
        <v>23.071428571428573</v>
      </c>
      <c r="S15" s="273"/>
      <c r="T15" s="274">
        <v>26.1</v>
      </c>
      <c r="U15" s="273"/>
      <c r="V15" s="274">
        <v>22.6</v>
      </c>
      <c r="W15" s="274"/>
      <c r="X15" s="274">
        <v>22.3</v>
      </c>
      <c r="Y15" s="273"/>
      <c r="Z15" s="274">
        <v>23.3</v>
      </c>
      <c r="AA15" s="273"/>
      <c r="AB15" s="274">
        <v>19.399999999999999</v>
      </c>
      <c r="AC15" s="273"/>
      <c r="AD15" s="274">
        <v>23.1</v>
      </c>
      <c r="AE15" s="273"/>
      <c r="AF15" s="274">
        <v>20.3</v>
      </c>
      <c r="AG15" s="273"/>
      <c r="AH15" s="274">
        <v>25.4</v>
      </c>
      <c r="AI15" s="273"/>
      <c r="AJ15" s="274">
        <v>23.3</v>
      </c>
      <c r="AK15" s="273"/>
      <c r="AL15" s="274">
        <v>22.8</v>
      </c>
      <c r="AM15" s="273"/>
      <c r="AN15" s="274">
        <v>21.7</v>
      </c>
      <c r="AO15" s="273"/>
      <c r="AP15" s="274">
        <v>20.7</v>
      </c>
      <c r="AQ15" s="274"/>
      <c r="AR15" s="274">
        <v>17.3</v>
      </c>
      <c r="AS15" s="273"/>
      <c r="AT15" s="274">
        <v>20</v>
      </c>
      <c r="AU15" s="273"/>
      <c r="AV15" s="274">
        <v>24.3</v>
      </c>
      <c r="AW15" s="273"/>
      <c r="AX15" s="274">
        <v>21.8</v>
      </c>
      <c r="AY15" s="274"/>
      <c r="AZ15" s="274">
        <v>19.7</v>
      </c>
      <c r="BA15" s="274"/>
      <c r="BB15" s="274">
        <v>19.899999999999999</v>
      </c>
      <c r="BC15" s="277"/>
      <c r="BD15" s="274">
        <v>17.600000000000001</v>
      </c>
      <c r="BE15" s="277"/>
      <c r="BF15" s="274">
        <v>15.3</v>
      </c>
      <c r="BG15" s="277"/>
      <c r="BH15" s="274">
        <v>21.1</v>
      </c>
      <c r="BI15" s="277"/>
      <c r="BJ15" s="274">
        <v>17.8</v>
      </c>
      <c r="BK15" s="277"/>
      <c r="BL15" s="275"/>
      <c r="BM15" s="275"/>
      <c r="BN15" s="275"/>
      <c r="BO15" s="275"/>
      <c r="BP15" s="275"/>
      <c r="BQ15" s="275"/>
      <c r="BR15" s="275"/>
      <c r="BS15" s="275"/>
      <c r="BT15" s="275"/>
      <c r="BU15" s="275"/>
      <c r="BV15" s="275"/>
      <c r="BW15" s="275"/>
      <c r="BX15" s="275"/>
      <c r="BY15" s="275"/>
      <c r="BZ15" s="275"/>
      <c r="CA15" s="275"/>
      <c r="CB15" s="275"/>
      <c r="CC15" s="275"/>
      <c r="CD15" s="275"/>
      <c r="CE15" s="275"/>
      <c r="CF15" s="275"/>
      <c r="CG15" s="275"/>
      <c r="CH15" s="275"/>
      <c r="CI15" s="275"/>
      <c r="CJ15" s="275"/>
      <c r="CK15" s="275"/>
      <c r="CL15" s="275"/>
      <c r="CM15" s="275"/>
      <c r="CN15" s="275"/>
      <c r="CO15" s="275"/>
      <c r="CP15" s="275"/>
      <c r="CQ15" s="275"/>
      <c r="CR15" s="275"/>
      <c r="CS15" s="275"/>
      <c r="CT15" s="275"/>
      <c r="CU15" s="275"/>
      <c r="CV15" s="275"/>
      <c r="CW15" s="275"/>
      <c r="CX15" s="275"/>
      <c r="CY15" s="275"/>
      <c r="CZ15" s="275"/>
      <c r="DA15" s="275"/>
      <c r="DB15" s="275"/>
      <c r="DC15" s="275"/>
      <c r="DD15" s="275"/>
      <c r="DE15" s="275"/>
      <c r="DF15" s="275"/>
      <c r="DG15" s="275"/>
      <c r="DH15" s="275"/>
      <c r="DI15" s="275"/>
      <c r="DJ15" s="275"/>
      <c r="DK15" s="275"/>
      <c r="DL15" s="275"/>
      <c r="DM15" s="275"/>
      <c r="DN15" s="275"/>
      <c r="DO15" s="275"/>
      <c r="DP15" s="275"/>
      <c r="DQ15" s="275"/>
      <c r="DR15" s="275"/>
      <c r="DS15" s="275"/>
      <c r="DT15" s="275"/>
      <c r="DU15" s="275"/>
      <c r="DV15" s="275"/>
      <c r="DW15" s="275"/>
      <c r="DX15" s="275"/>
      <c r="DY15" s="275"/>
      <c r="DZ15" s="275"/>
      <c r="EA15" s="275"/>
      <c r="EB15" s="275"/>
      <c r="EC15" s="275"/>
      <c r="ED15" s="275"/>
      <c r="EE15" s="275"/>
      <c r="EF15" s="275"/>
      <c r="EG15" s="275"/>
      <c r="EH15" s="275"/>
      <c r="EI15" s="275"/>
    </row>
    <row r="16" spans="1:139" s="246" customFormat="1" ht="12" customHeight="1">
      <c r="A16" s="326" t="s">
        <v>94</v>
      </c>
      <c r="B16" s="326"/>
      <c r="C16" s="326"/>
      <c r="D16" s="248">
        <v>26</v>
      </c>
      <c r="E16" s="248"/>
      <c r="F16" s="248">
        <v>24.8</v>
      </c>
      <c r="G16" s="248"/>
      <c r="H16" s="248">
        <v>24.7</v>
      </c>
      <c r="I16" s="248"/>
      <c r="J16" s="248">
        <v>25.7</v>
      </c>
      <c r="K16" s="248"/>
      <c r="L16" s="248">
        <v>24.1</v>
      </c>
      <c r="M16" s="248"/>
      <c r="N16" s="248">
        <v>24.9</v>
      </c>
      <c r="O16" s="248"/>
      <c r="P16" s="248">
        <v>25.1</v>
      </c>
      <c r="Q16" s="248"/>
      <c r="R16" s="248">
        <v>21.981481481481481</v>
      </c>
      <c r="S16" s="247"/>
      <c r="T16" s="248">
        <v>24.1</v>
      </c>
      <c r="U16" s="247"/>
      <c r="V16" s="248">
        <v>21.7</v>
      </c>
      <c r="W16" s="248"/>
      <c r="X16" s="248">
        <v>21.8</v>
      </c>
      <c r="Y16" s="247"/>
      <c r="Z16" s="248">
        <v>23.3</v>
      </c>
      <c r="AA16" s="247"/>
      <c r="AB16" s="248">
        <v>24.8</v>
      </c>
      <c r="AC16" s="247"/>
      <c r="AD16" s="248">
        <v>24.6</v>
      </c>
      <c r="AE16" s="247"/>
      <c r="AF16" s="248">
        <v>24</v>
      </c>
      <c r="AG16" s="247"/>
      <c r="AH16" s="248">
        <v>23.7</v>
      </c>
      <c r="AI16" s="247"/>
      <c r="AJ16" s="248">
        <v>23.6</v>
      </c>
      <c r="AK16" s="247"/>
      <c r="AL16" s="248">
        <v>26.3</v>
      </c>
      <c r="AM16" s="247"/>
      <c r="AN16" s="248">
        <v>26</v>
      </c>
      <c r="AO16" s="247"/>
      <c r="AP16" s="248">
        <v>24.9</v>
      </c>
      <c r="AQ16" s="248"/>
      <c r="AR16" s="249">
        <v>24.1</v>
      </c>
      <c r="AS16" s="250"/>
      <c r="AT16" s="249">
        <v>25.5</v>
      </c>
      <c r="AU16" s="250"/>
      <c r="AV16" s="249">
        <v>26.8</v>
      </c>
      <c r="AW16" s="250"/>
      <c r="AX16" s="249">
        <v>24.7</v>
      </c>
      <c r="AY16" s="249"/>
      <c r="AZ16" s="249">
        <v>24.1</v>
      </c>
      <c r="BA16" s="249"/>
      <c r="BB16" s="249">
        <v>24.7</v>
      </c>
      <c r="BC16"/>
      <c r="BD16" s="249">
        <v>23.7</v>
      </c>
      <c r="BE16"/>
      <c r="BF16" s="249">
        <v>24.9</v>
      </c>
      <c r="BG16"/>
      <c r="BH16" s="249">
        <v>23.1</v>
      </c>
      <c r="BI16"/>
      <c r="BJ16" s="249">
        <v>25.1</v>
      </c>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row>
    <row r="17" spans="1:139" s="276" customFormat="1" ht="12.9" customHeight="1">
      <c r="A17" s="273"/>
      <c r="B17" s="272" t="s">
        <v>2</v>
      </c>
      <c r="C17" s="273"/>
      <c r="D17" s="274">
        <v>28.9</v>
      </c>
      <c r="E17" s="274"/>
      <c r="F17" s="274">
        <v>27.2</v>
      </c>
      <c r="G17" s="274"/>
      <c r="H17" s="274">
        <v>27.7</v>
      </c>
      <c r="I17" s="274"/>
      <c r="J17" s="274">
        <v>28.2</v>
      </c>
      <c r="K17" s="274"/>
      <c r="L17" s="274">
        <v>26.8</v>
      </c>
      <c r="M17" s="274"/>
      <c r="N17" s="274">
        <v>27.5</v>
      </c>
      <c r="O17" s="274"/>
      <c r="P17" s="274">
        <v>27</v>
      </c>
      <c r="Q17" s="274"/>
      <c r="R17" s="274">
        <v>23.433898305084746</v>
      </c>
      <c r="S17" s="273"/>
      <c r="T17" s="274">
        <v>25.8</v>
      </c>
      <c r="U17" s="273"/>
      <c r="V17" s="274">
        <v>23.3</v>
      </c>
      <c r="W17" s="274"/>
      <c r="X17" s="274">
        <v>23.2</v>
      </c>
      <c r="Y17" s="273"/>
      <c r="Z17" s="274">
        <v>24.7</v>
      </c>
      <c r="AA17" s="273"/>
      <c r="AB17" s="274">
        <v>26.4</v>
      </c>
      <c r="AC17" s="273"/>
      <c r="AD17" s="274">
        <v>26.7</v>
      </c>
      <c r="AE17" s="273"/>
      <c r="AF17" s="274">
        <v>26</v>
      </c>
      <c r="AG17" s="273"/>
      <c r="AH17" s="274">
        <v>27.6</v>
      </c>
      <c r="AI17" s="273"/>
      <c r="AJ17" s="274">
        <v>27.4</v>
      </c>
      <c r="AK17" s="273"/>
      <c r="AL17" s="274">
        <v>31</v>
      </c>
      <c r="AM17" s="273"/>
      <c r="AN17" s="274">
        <v>30.7</v>
      </c>
      <c r="AO17" s="273"/>
      <c r="AP17" s="274">
        <v>29.5</v>
      </c>
      <c r="AQ17" s="274"/>
      <c r="AR17" s="274">
        <v>28.6</v>
      </c>
      <c r="AS17" s="273"/>
      <c r="AT17" s="274">
        <v>30.4</v>
      </c>
      <c r="AU17" s="273"/>
      <c r="AV17" s="274">
        <v>32.4</v>
      </c>
      <c r="AW17" s="273"/>
      <c r="AX17" s="274">
        <v>29.7</v>
      </c>
      <c r="AY17" s="274"/>
      <c r="AZ17" s="274">
        <v>29.3</v>
      </c>
      <c r="BA17" s="274"/>
      <c r="BB17" s="274">
        <v>29.2</v>
      </c>
      <c r="BC17" s="275"/>
      <c r="BD17" s="274">
        <v>28.5</v>
      </c>
      <c r="BE17" s="275"/>
      <c r="BF17" s="274">
        <v>30.5</v>
      </c>
      <c r="BG17" s="275"/>
      <c r="BH17" s="274">
        <v>28</v>
      </c>
      <c r="BI17" s="275"/>
      <c r="BJ17" s="274">
        <v>29.6</v>
      </c>
      <c r="BK17" s="275"/>
      <c r="BL17" s="275"/>
      <c r="BM17" s="275"/>
      <c r="BN17" s="275"/>
      <c r="BO17" s="275"/>
      <c r="BP17" s="275"/>
      <c r="BQ17" s="275"/>
      <c r="BR17" s="275"/>
      <c r="BS17" s="275"/>
      <c r="BT17" s="275"/>
      <c r="BU17" s="275"/>
      <c r="BV17" s="275"/>
      <c r="BW17" s="275"/>
      <c r="BX17" s="275"/>
      <c r="BY17" s="275"/>
      <c r="BZ17" s="275"/>
      <c r="CA17" s="275"/>
      <c r="CB17" s="275"/>
      <c r="CC17" s="275"/>
      <c r="CD17" s="275"/>
      <c r="CE17" s="275"/>
      <c r="CF17" s="275"/>
      <c r="CG17" s="275"/>
      <c r="CH17" s="275"/>
      <c r="CI17" s="275"/>
      <c r="CJ17" s="275"/>
      <c r="CK17" s="275"/>
      <c r="CL17" s="275"/>
      <c r="CM17" s="275"/>
      <c r="CN17" s="275"/>
      <c r="CO17" s="275"/>
      <c r="CP17" s="275"/>
      <c r="CQ17" s="275"/>
      <c r="CR17" s="275"/>
      <c r="CS17" s="275"/>
      <c r="CT17" s="275"/>
      <c r="CU17" s="275"/>
      <c r="CV17" s="275"/>
      <c r="CW17" s="275"/>
      <c r="CX17" s="275"/>
      <c r="CY17" s="275"/>
      <c r="CZ17" s="275"/>
      <c r="DA17" s="275"/>
      <c r="DB17" s="275"/>
      <c r="DC17" s="275"/>
      <c r="DD17" s="275"/>
      <c r="DE17" s="275"/>
      <c r="DF17" s="275"/>
      <c r="DG17" s="275"/>
      <c r="DH17" s="275"/>
      <c r="DI17" s="275"/>
      <c r="DJ17" s="275"/>
      <c r="DK17" s="275"/>
      <c r="DL17" s="275"/>
      <c r="DM17" s="275"/>
      <c r="DN17" s="275"/>
      <c r="DO17" s="275"/>
      <c r="DP17" s="275"/>
      <c r="DQ17" s="275"/>
      <c r="DR17" s="275"/>
      <c r="DS17" s="275"/>
      <c r="DT17" s="275"/>
      <c r="DU17" s="275"/>
      <c r="DV17" s="275"/>
      <c r="DW17" s="275"/>
      <c r="DX17" s="275"/>
      <c r="DY17" s="275"/>
      <c r="DZ17" s="275"/>
      <c r="EA17" s="275"/>
      <c r="EB17" s="275"/>
      <c r="EC17" s="275"/>
      <c r="ED17" s="275"/>
      <c r="EE17" s="275"/>
      <c r="EF17" s="275"/>
      <c r="EG17" s="275"/>
      <c r="EH17" s="275"/>
      <c r="EI17" s="275"/>
    </row>
    <row r="18" spans="1:139" s="191" customFormat="1" ht="12.6" customHeight="1">
      <c r="A18" s="255"/>
      <c r="B18" s="256"/>
      <c r="C18" s="257" t="s">
        <v>75</v>
      </c>
      <c r="D18" s="258"/>
      <c r="E18" s="259"/>
      <c r="F18" s="258"/>
      <c r="G18" s="259"/>
      <c r="H18" s="259"/>
      <c r="I18" s="259"/>
      <c r="J18" s="259"/>
      <c r="K18" s="259"/>
      <c r="L18" s="259"/>
      <c r="M18" s="259"/>
      <c r="N18" s="259"/>
      <c r="O18" s="259"/>
      <c r="P18" s="259"/>
      <c r="Q18" s="259"/>
      <c r="R18" s="259"/>
      <c r="S18" s="258"/>
      <c r="T18" s="259"/>
      <c r="U18" s="258"/>
      <c r="V18" s="259"/>
      <c r="W18" s="259"/>
      <c r="X18" s="259"/>
      <c r="Y18" s="258"/>
      <c r="Z18" s="259"/>
      <c r="AA18" s="258"/>
      <c r="AB18" s="259"/>
      <c r="AC18" s="258"/>
      <c r="AD18" s="259"/>
      <c r="AE18" s="258"/>
      <c r="AF18" s="259"/>
      <c r="AG18" s="258"/>
      <c r="AH18" s="259"/>
      <c r="AI18" s="258"/>
      <c r="AJ18" s="259"/>
      <c r="AK18" s="258"/>
      <c r="AL18" s="259"/>
      <c r="AM18" s="258"/>
      <c r="AN18" s="259"/>
      <c r="AO18" s="258"/>
      <c r="AP18" s="259"/>
      <c r="AQ18" s="259"/>
      <c r="AR18" s="259">
        <v>37</v>
      </c>
      <c r="AS18" s="258"/>
      <c r="AT18" s="259">
        <v>39.6</v>
      </c>
      <c r="AU18" s="259"/>
      <c r="AV18" s="259">
        <v>40.700000000000003</v>
      </c>
      <c r="AW18" s="258"/>
      <c r="AX18" s="259">
        <v>36.299999999999997</v>
      </c>
      <c r="AY18" s="259"/>
      <c r="AZ18" s="259">
        <v>35.200000000000003</v>
      </c>
      <c r="BA18" s="259"/>
      <c r="BB18" s="259">
        <v>34.5</v>
      </c>
      <c r="BC18" s="278"/>
      <c r="BD18" s="259">
        <v>32.6</v>
      </c>
      <c r="BE18" s="278"/>
      <c r="BF18" s="259">
        <v>35.1</v>
      </c>
      <c r="BG18" s="278"/>
      <c r="BH18" s="259">
        <v>31.3</v>
      </c>
      <c r="BI18" s="278"/>
      <c r="BJ18" s="259">
        <v>34.4</v>
      </c>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row>
    <row r="19" spans="1:139" s="191" customFormat="1" ht="12.6" customHeight="1">
      <c r="A19" s="255"/>
      <c r="B19" s="256"/>
      <c r="C19" s="257" t="s">
        <v>76</v>
      </c>
      <c r="D19" s="258"/>
      <c r="E19" s="259"/>
      <c r="F19" s="258"/>
      <c r="G19" s="259"/>
      <c r="H19" s="259"/>
      <c r="I19" s="259"/>
      <c r="J19" s="259"/>
      <c r="K19" s="259"/>
      <c r="L19" s="259"/>
      <c r="M19" s="259"/>
      <c r="N19" s="259"/>
      <c r="O19" s="259"/>
      <c r="P19" s="259"/>
      <c r="Q19" s="259"/>
      <c r="R19" s="259"/>
      <c r="S19" s="258"/>
      <c r="T19" s="259"/>
      <c r="U19" s="258"/>
      <c r="V19" s="259"/>
      <c r="W19" s="259"/>
      <c r="X19" s="259"/>
      <c r="Y19" s="258"/>
      <c r="Z19" s="259"/>
      <c r="AA19" s="258"/>
      <c r="AB19" s="259"/>
      <c r="AC19" s="258"/>
      <c r="AD19" s="259"/>
      <c r="AE19" s="258"/>
      <c r="AF19" s="259"/>
      <c r="AG19" s="258"/>
      <c r="AH19" s="259"/>
      <c r="AI19" s="258"/>
      <c r="AJ19" s="259"/>
      <c r="AK19" s="258"/>
      <c r="AL19" s="259"/>
      <c r="AM19" s="258"/>
      <c r="AN19" s="259"/>
      <c r="AO19" s="258"/>
      <c r="AP19" s="259"/>
      <c r="AQ19" s="259"/>
      <c r="AR19" s="259">
        <v>21.2</v>
      </c>
      <c r="AS19" s="258"/>
      <c r="AT19" s="259">
        <v>22.6</v>
      </c>
      <c r="AU19" s="259"/>
      <c r="AV19" s="259">
        <v>25.5</v>
      </c>
      <c r="AW19" s="258"/>
      <c r="AX19" s="259">
        <v>23.5</v>
      </c>
      <c r="AY19" s="259"/>
      <c r="AZ19" s="259">
        <v>23.3</v>
      </c>
      <c r="BA19" s="259"/>
      <c r="BB19" s="259">
        <v>23.9</v>
      </c>
      <c r="BC19" s="278"/>
      <c r="BD19" s="259">
        <v>24.1</v>
      </c>
      <c r="BE19" s="278"/>
      <c r="BF19" s="259">
        <v>25.6</v>
      </c>
      <c r="BG19" s="278"/>
      <c r="BH19" s="259">
        <v>24.3</v>
      </c>
      <c r="BI19" s="278"/>
      <c r="BJ19" s="259">
        <v>24.6</v>
      </c>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row>
    <row r="20" spans="1:139" s="276" customFormat="1" ht="12.9" customHeight="1">
      <c r="A20" s="271"/>
      <c r="B20" s="272" t="s">
        <v>3</v>
      </c>
      <c r="C20" s="273"/>
      <c r="D20" s="274">
        <v>7.5</v>
      </c>
      <c r="E20" s="274"/>
      <c r="F20" s="274">
        <v>9.1999999999999993</v>
      </c>
      <c r="G20" s="274"/>
      <c r="H20" s="274">
        <v>8.4</v>
      </c>
      <c r="I20" s="274"/>
      <c r="J20" s="274">
        <v>9.4</v>
      </c>
      <c r="K20" s="274"/>
      <c r="L20" s="274">
        <v>8</v>
      </c>
      <c r="M20" s="274"/>
      <c r="N20" s="274">
        <v>7.6</v>
      </c>
      <c r="O20" s="274"/>
      <c r="P20" s="274">
        <v>7.7</v>
      </c>
      <c r="Q20" s="274"/>
      <c r="R20" s="274">
        <v>7.2068965517241379</v>
      </c>
      <c r="S20" s="273"/>
      <c r="T20" s="274">
        <v>8.8000000000000007</v>
      </c>
      <c r="U20" s="273"/>
      <c r="V20" s="274">
        <v>8.5</v>
      </c>
      <c r="W20" s="274"/>
      <c r="X20" s="274">
        <v>9.4</v>
      </c>
      <c r="Y20" s="273"/>
      <c r="Z20" s="274">
        <v>10.5</v>
      </c>
      <c r="AA20" s="273"/>
      <c r="AB20" s="274">
        <v>12.6</v>
      </c>
      <c r="AC20" s="273"/>
      <c r="AD20" s="274">
        <v>10.9</v>
      </c>
      <c r="AE20" s="273"/>
      <c r="AF20" s="274">
        <v>11.3</v>
      </c>
      <c r="AG20" s="273"/>
      <c r="AH20" s="274">
        <v>8</v>
      </c>
      <c r="AI20" s="273"/>
      <c r="AJ20" s="274">
        <v>8.1</v>
      </c>
      <c r="AK20" s="273"/>
      <c r="AL20" s="274">
        <v>8.6999999999999993</v>
      </c>
      <c r="AM20" s="273"/>
      <c r="AN20" s="274">
        <v>9.1</v>
      </c>
      <c r="AO20" s="273"/>
      <c r="AP20" s="274">
        <v>8.3000000000000007</v>
      </c>
      <c r="AQ20" s="274"/>
      <c r="AR20" s="274">
        <v>8.1</v>
      </c>
      <c r="AS20" s="273"/>
      <c r="AT20" s="274">
        <v>9</v>
      </c>
      <c r="AU20" s="273"/>
      <c r="AV20" s="274">
        <v>10.5</v>
      </c>
      <c r="AW20" s="273"/>
      <c r="AX20" s="274">
        <v>9.6999999999999993</v>
      </c>
      <c r="AY20" s="274"/>
      <c r="AZ20" s="274">
        <v>8.5</v>
      </c>
      <c r="BA20" s="274"/>
      <c r="BB20" s="274">
        <v>9.6999999999999993</v>
      </c>
      <c r="BC20" s="277"/>
      <c r="BD20" s="274">
        <v>9.1</v>
      </c>
      <c r="BE20" s="277"/>
      <c r="BF20" s="274">
        <v>9</v>
      </c>
      <c r="BG20" s="277"/>
      <c r="BH20" s="274">
        <v>7.7</v>
      </c>
      <c r="BI20" s="277"/>
      <c r="BJ20" s="274">
        <v>9.1999999999999993</v>
      </c>
      <c r="BK20" s="277"/>
      <c r="BL20" s="275"/>
      <c r="BM20" s="275"/>
      <c r="BN20" s="275"/>
      <c r="BO20" s="275"/>
      <c r="BP20" s="275"/>
      <c r="BQ20" s="275"/>
      <c r="BR20" s="275"/>
      <c r="BS20" s="275"/>
      <c r="BT20" s="275"/>
      <c r="BU20" s="275"/>
      <c r="BV20" s="275"/>
      <c r="BW20" s="275"/>
      <c r="BX20" s="275"/>
      <c r="BY20" s="275"/>
      <c r="BZ20" s="275"/>
      <c r="CA20" s="275"/>
      <c r="CB20" s="275"/>
      <c r="CC20" s="275"/>
      <c r="CD20" s="275"/>
      <c r="CE20" s="275"/>
      <c r="CF20" s="275"/>
      <c r="CG20" s="275"/>
      <c r="CH20" s="275"/>
      <c r="CI20" s="275"/>
      <c r="CJ20" s="275"/>
      <c r="CK20" s="275"/>
      <c r="CL20" s="275"/>
      <c r="CM20" s="275"/>
      <c r="CN20" s="275"/>
      <c r="CO20" s="275"/>
      <c r="CP20" s="275"/>
      <c r="CQ20" s="275"/>
      <c r="CR20" s="275"/>
      <c r="CS20" s="275"/>
      <c r="CT20" s="275"/>
      <c r="CU20" s="275"/>
      <c r="CV20" s="275"/>
      <c r="CW20" s="275"/>
      <c r="CX20" s="275"/>
      <c r="CY20" s="275"/>
      <c r="CZ20" s="275"/>
      <c r="DA20" s="275"/>
      <c r="DB20" s="275"/>
      <c r="DC20" s="275"/>
      <c r="DD20" s="275"/>
      <c r="DE20" s="275"/>
      <c r="DF20" s="275"/>
      <c r="DG20" s="275"/>
      <c r="DH20" s="275"/>
      <c r="DI20" s="275"/>
      <c r="DJ20" s="275"/>
      <c r="DK20" s="275"/>
      <c r="DL20" s="275"/>
      <c r="DM20" s="275"/>
      <c r="DN20" s="275"/>
      <c r="DO20" s="275"/>
      <c r="DP20" s="275"/>
      <c r="DQ20" s="275"/>
      <c r="DR20" s="275"/>
      <c r="DS20" s="275"/>
      <c r="DT20" s="275"/>
      <c r="DU20" s="275"/>
      <c r="DV20" s="275"/>
      <c r="DW20" s="275"/>
      <c r="DX20" s="275"/>
      <c r="DY20" s="275"/>
      <c r="DZ20" s="275"/>
      <c r="EA20" s="275"/>
      <c r="EB20" s="275"/>
      <c r="EC20" s="275"/>
      <c r="ED20" s="275"/>
      <c r="EE20" s="275"/>
      <c r="EF20" s="275"/>
      <c r="EG20" s="275"/>
      <c r="EH20" s="275"/>
      <c r="EI20" s="275"/>
    </row>
    <row r="21" spans="1:139" s="267" customFormat="1" ht="12.75" hidden="1" customHeight="1">
      <c r="A21" s="264" t="s">
        <v>18</v>
      </c>
      <c r="B21" s="182"/>
      <c r="C21" s="265"/>
      <c r="D21" s="266">
        <v>22.1</v>
      </c>
      <c r="E21" s="266"/>
      <c r="F21" s="266">
        <v>22.6</v>
      </c>
      <c r="G21" s="266"/>
      <c r="H21" s="266">
        <v>22.2</v>
      </c>
      <c r="I21" s="266"/>
      <c r="J21" s="266">
        <v>22.1</v>
      </c>
      <c r="K21" s="266"/>
      <c r="L21" s="266">
        <v>22.5</v>
      </c>
      <c r="M21" s="266"/>
      <c r="N21" s="266">
        <v>24.4</v>
      </c>
      <c r="O21" s="266"/>
      <c r="P21" s="266">
        <v>22.4</v>
      </c>
      <c r="Q21" s="266"/>
      <c r="R21" s="266">
        <v>22.926470588235293</v>
      </c>
      <c r="S21" s="265"/>
      <c r="T21" s="266">
        <v>22.8</v>
      </c>
      <c r="U21" s="265"/>
      <c r="V21" s="266">
        <v>25.2</v>
      </c>
      <c r="W21" s="266"/>
      <c r="X21" s="266">
        <v>26.8</v>
      </c>
      <c r="Y21" s="265"/>
      <c r="Z21" s="266">
        <v>26.4</v>
      </c>
      <c r="AA21" s="265"/>
      <c r="AB21" s="266">
        <v>24.8</v>
      </c>
      <c r="AC21" s="265"/>
      <c r="AD21" s="266" t="s">
        <v>0</v>
      </c>
      <c r="AE21" s="265"/>
      <c r="AF21" s="266" t="s">
        <v>0</v>
      </c>
      <c r="AG21" s="265"/>
      <c r="AH21" s="266" t="s">
        <v>0</v>
      </c>
      <c r="AI21" s="265"/>
      <c r="AJ21" s="266" t="s">
        <v>0</v>
      </c>
      <c r="AK21" s="265"/>
      <c r="AL21" s="266" t="s">
        <v>0</v>
      </c>
      <c r="AM21" s="265"/>
      <c r="AN21" s="266" t="s">
        <v>0</v>
      </c>
      <c r="AO21" s="265"/>
      <c r="AP21" s="266" t="s">
        <v>0</v>
      </c>
      <c r="AQ21" s="266"/>
      <c r="AR21" s="266"/>
      <c r="AS21" s="265"/>
      <c r="AT21" s="266"/>
      <c r="AU21" s="265"/>
      <c r="AV21" s="266"/>
      <c r="AW21" s="265"/>
      <c r="AX21" s="266"/>
      <c r="AY21" s="266"/>
      <c r="AZ21" s="266"/>
      <c r="BA21" s="266"/>
      <c r="BB21" s="266"/>
      <c r="BC21"/>
      <c r="BD21" s="266"/>
      <c r="BE21"/>
      <c r="BF21" s="266"/>
      <c r="BG21"/>
      <c r="BH21" s="266"/>
      <c r="BI21"/>
      <c r="BJ21" s="266"/>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row>
    <row r="22" spans="1:139" s="267" customFormat="1" ht="12.75" hidden="1" customHeight="1">
      <c r="A22" s="268"/>
      <c r="B22" s="269" t="s">
        <v>2</v>
      </c>
      <c r="C22" s="268"/>
      <c r="D22" s="270">
        <v>24.6</v>
      </c>
      <c r="E22" s="270"/>
      <c r="F22" s="270">
        <v>24.9</v>
      </c>
      <c r="G22" s="270"/>
      <c r="H22" s="270">
        <v>24.8</v>
      </c>
      <c r="I22" s="270"/>
      <c r="J22" s="270">
        <v>24.6</v>
      </c>
      <c r="K22" s="270"/>
      <c r="L22" s="270">
        <v>24.8</v>
      </c>
      <c r="M22" s="270"/>
      <c r="N22" s="270">
        <v>27.3</v>
      </c>
      <c r="O22" s="270"/>
      <c r="P22" s="270">
        <v>25.5</v>
      </c>
      <c r="Q22" s="270"/>
      <c r="R22" s="270">
        <v>26.16614420062696</v>
      </c>
      <c r="S22" s="268"/>
      <c r="T22" s="270">
        <v>26.6</v>
      </c>
      <c r="U22" s="268"/>
      <c r="V22" s="270">
        <v>28.8</v>
      </c>
      <c r="W22" s="270"/>
      <c r="X22" s="270">
        <v>31.2</v>
      </c>
      <c r="Y22" s="268"/>
      <c r="Z22" s="270">
        <v>30.3</v>
      </c>
      <c r="AA22" s="268"/>
      <c r="AB22" s="270">
        <v>29</v>
      </c>
      <c r="AC22" s="268"/>
      <c r="AD22" s="270" t="s">
        <v>0</v>
      </c>
      <c r="AE22" s="268"/>
      <c r="AF22" s="270" t="s">
        <v>0</v>
      </c>
      <c r="AG22" s="268"/>
      <c r="AH22" s="270" t="s">
        <v>0</v>
      </c>
      <c r="AI22" s="268"/>
      <c r="AJ22" s="270" t="s">
        <v>0</v>
      </c>
      <c r="AK22" s="268"/>
      <c r="AL22" s="270" t="s">
        <v>0</v>
      </c>
      <c r="AM22" s="268"/>
      <c r="AN22" s="270" t="s">
        <v>0</v>
      </c>
      <c r="AO22" s="268"/>
      <c r="AP22" s="270" t="s">
        <v>0</v>
      </c>
      <c r="AQ22" s="270"/>
      <c r="AR22" s="270"/>
      <c r="AS22" s="268"/>
      <c r="AT22" s="270"/>
      <c r="AU22" s="268"/>
      <c r="AV22" s="270"/>
      <c r="AW22" s="268"/>
      <c r="AX22" s="270"/>
      <c r="AY22" s="270"/>
      <c r="AZ22" s="270"/>
      <c r="BA22" s="270"/>
      <c r="BB22" s="270"/>
      <c r="BC22"/>
      <c r="BD22" s="270"/>
      <c r="BE22"/>
      <c r="BF22" s="270"/>
      <c r="BG22"/>
      <c r="BH22" s="270"/>
      <c r="BI22"/>
      <c r="BJ22" s="270"/>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row>
    <row r="23" spans="1:139" s="267" customFormat="1" ht="12.75" hidden="1" customHeight="1">
      <c r="A23" s="268"/>
      <c r="B23" s="269" t="s">
        <v>3</v>
      </c>
      <c r="C23" s="268"/>
      <c r="D23" s="270">
        <v>11</v>
      </c>
      <c r="E23" s="270"/>
      <c r="F23" s="270">
        <v>11.314606741573034</v>
      </c>
      <c r="G23" s="270"/>
      <c r="H23" s="270">
        <v>11.1</v>
      </c>
      <c r="I23" s="270"/>
      <c r="J23" s="270">
        <v>11.8</v>
      </c>
      <c r="K23" s="270"/>
      <c r="L23" s="270">
        <v>12.4</v>
      </c>
      <c r="M23" s="270"/>
      <c r="N23" s="270">
        <v>11.9</v>
      </c>
      <c r="O23" s="270"/>
      <c r="P23" s="270">
        <v>10.199999999999999</v>
      </c>
      <c r="Q23" s="270"/>
      <c r="R23" s="270">
        <v>11.314606741573034</v>
      </c>
      <c r="S23" s="268"/>
      <c r="T23" s="270">
        <v>10.4</v>
      </c>
      <c r="U23" s="268"/>
      <c r="V23" s="270">
        <v>11.3</v>
      </c>
      <c r="W23" s="270"/>
      <c r="X23" s="270">
        <v>11.8</v>
      </c>
      <c r="Y23" s="268"/>
      <c r="Z23" s="270">
        <v>13.1</v>
      </c>
      <c r="AA23" s="268"/>
      <c r="AB23" s="270">
        <v>10.8</v>
      </c>
      <c r="AC23" s="268"/>
      <c r="AD23" s="270" t="s">
        <v>0</v>
      </c>
      <c r="AE23" s="268"/>
      <c r="AF23" s="270" t="s">
        <v>0</v>
      </c>
      <c r="AG23" s="268"/>
      <c r="AH23" s="270" t="s">
        <v>0</v>
      </c>
      <c r="AI23" s="268"/>
      <c r="AJ23" s="270" t="s">
        <v>0</v>
      </c>
      <c r="AK23" s="268"/>
      <c r="AL23" s="270" t="s">
        <v>0</v>
      </c>
      <c r="AM23" s="268"/>
      <c r="AN23" s="270" t="s">
        <v>0</v>
      </c>
      <c r="AO23" s="268"/>
      <c r="AP23" s="270" t="s">
        <v>0</v>
      </c>
      <c r="AQ23" s="270"/>
      <c r="AR23" s="270"/>
      <c r="AS23" s="268"/>
      <c r="AT23" s="270"/>
      <c r="AU23" s="268"/>
      <c r="AV23" s="270"/>
      <c r="AW23" s="268"/>
      <c r="AX23" s="270"/>
      <c r="AY23" s="270"/>
      <c r="AZ23" s="270"/>
      <c r="BA23" s="270"/>
      <c r="BB23" s="270"/>
      <c r="BC23"/>
      <c r="BD23" s="270"/>
      <c r="BE23"/>
      <c r="BF23" s="270"/>
      <c r="BG23"/>
      <c r="BH23" s="270"/>
      <c r="BI23"/>
      <c r="BJ23" s="270"/>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row>
    <row r="24" spans="1:139" s="246" customFormat="1" ht="12" customHeight="1">
      <c r="A24" s="326" t="s">
        <v>95</v>
      </c>
      <c r="B24" s="326"/>
      <c r="C24" s="326"/>
      <c r="D24" s="248">
        <v>24.2</v>
      </c>
      <c r="E24" s="248"/>
      <c r="F24" s="248">
        <v>25.3</v>
      </c>
      <c r="G24" s="248"/>
      <c r="H24" s="248">
        <v>24.4</v>
      </c>
      <c r="I24" s="248"/>
      <c r="J24" s="248">
        <v>23.5</v>
      </c>
      <c r="K24" s="248"/>
      <c r="L24" s="248">
        <v>23.4</v>
      </c>
      <c r="M24" s="248"/>
      <c r="N24" s="248">
        <v>22.9</v>
      </c>
      <c r="O24" s="248"/>
      <c r="P24" s="248">
        <v>23.4</v>
      </c>
      <c r="Q24" s="248"/>
      <c r="R24" s="248">
        <v>23.50827067669173</v>
      </c>
      <c r="S24" s="247"/>
      <c r="T24" s="248">
        <v>22.9</v>
      </c>
      <c r="U24" s="247"/>
      <c r="V24" s="248">
        <v>25.6</v>
      </c>
      <c r="W24" s="248"/>
      <c r="X24" s="248">
        <v>27.7</v>
      </c>
      <c r="Y24" s="247"/>
      <c r="Z24" s="248">
        <v>26.5</v>
      </c>
      <c r="AA24" s="247"/>
      <c r="AB24" s="248">
        <v>26.9</v>
      </c>
      <c r="AC24" s="247"/>
      <c r="AD24" s="248">
        <v>28.7</v>
      </c>
      <c r="AE24" s="247"/>
      <c r="AF24" s="248">
        <v>27.8</v>
      </c>
      <c r="AG24" s="247"/>
      <c r="AH24" s="248">
        <v>27.2</v>
      </c>
      <c r="AI24" s="247"/>
      <c r="AJ24" s="248">
        <v>27.4</v>
      </c>
      <c r="AK24" s="247"/>
      <c r="AL24" s="248">
        <v>29.3</v>
      </c>
      <c r="AM24" s="247"/>
      <c r="AN24" s="248">
        <v>30.7</v>
      </c>
      <c r="AO24" s="247"/>
      <c r="AP24" s="248">
        <v>32</v>
      </c>
      <c r="AQ24" s="248"/>
      <c r="AR24" s="249">
        <v>32.700000000000003</v>
      </c>
      <c r="AS24" s="250"/>
      <c r="AT24" s="249">
        <v>33.5</v>
      </c>
      <c r="AU24" s="250"/>
      <c r="AV24" s="249">
        <v>38</v>
      </c>
      <c r="AW24" s="250"/>
      <c r="AX24" s="249">
        <v>35.5</v>
      </c>
      <c r="AY24" s="249"/>
      <c r="AZ24" s="249">
        <v>35.6</v>
      </c>
      <c r="BA24" s="249"/>
      <c r="BB24" s="249">
        <v>35.5</v>
      </c>
      <c r="BC24"/>
      <c r="BD24" s="249">
        <v>35.200000000000003</v>
      </c>
      <c r="BE24"/>
      <c r="BF24" s="249">
        <v>32.799999999999997</v>
      </c>
      <c r="BG24"/>
      <c r="BH24" s="249">
        <v>30.3</v>
      </c>
      <c r="BI24"/>
      <c r="BJ24" s="249">
        <v>30.7</v>
      </c>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row>
    <row r="25" spans="1:139" s="276" customFormat="1" ht="12.9" customHeight="1">
      <c r="A25" s="273"/>
      <c r="B25" s="272" t="s">
        <v>2</v>
      </c>
      <c r="C25" s="273"/>
      <c r="D25" s="274">
        <v>26.2</v>
      </c>
      <c r="E25" s="274"/>
      <c r="F25" s="274">
        <v>27.3</v>
      </c>
      <c r="G25" s="274"/>
      <c r="H25" s="274">
        <v>26.2</v>
      </c>
      <c r="I25" s="274"/>
      <c r="J25" s="274">
        <v>25.2</v>
      </c>
      <c r="K25" s="274"/>
      <c r="L25" s="274">
        <v>24.7</v>
      </c>
      <c r="M25" s="274"/>
      <c r="N25" s="274">
        <v>24.4</v>
      </c>
      <c r="O25" s="274"/>
      <c r="P25" s="274">
        <v>25.4</v>
      </c>
      <c r="Q25" s="274"/>
      <c r="R25" s="274">
        <v>25.015817223198596</v>
      </c>
      <c r="S25" s="273"/>
      <c r="T25" s="274">
        <v>24.3</v>
      </c>
      <c r="U25" s="273"/>
      <c r="V25" s="274">
        <v>27.4</v>
      </c>
      <c r="W25" s="274"/>
      <c r="X25" s="274">
        <v>29.7</v>
      </c>
      <c r="Y25" s="273"/>
      <c r="Z25" s="274">
        <v>29.1</v>
      </c>
      <c r="AA25" s="273"/>
      <c r="AB25" s="274">
        <v>29.4</v>
      </c>
      <c r="AC25" s="273"/>
      <c r="AD25" s="274">
        <v>31.9</v>
      </c>
      <c r="AE25" s="273"/>
      <c r="AF25" s="274">
        <v>30</v>
      </c>
      <c r="AG25" s="273"/>
      <c r="AH25" s="274">
        <v>30.3</v>
      </c>
      <c r="AI25" s="273"/>
      <c r="AJ25" s="274">
        <v>30.8</v>
      </c>
      <c r="AK25" s="273"/>
      <c r="AL25" s="274">
        <v>33.299999999999997</v>
      </c>
      <c r="AM25" s="273"/>
      <c r="AN25" s="274">
        <v>34.9</v>
      </c>
      <c r="AO25" s="273"/>
      <c r="AP25" s="274">
        <v>36.299999999999997</v>
      </c>
      <c r="AQ25" s="274"/>
      <c r="AR25" s="274">
        <v>37</v>
      </c>
      <c r="AS25" s="273"/>
      <c r="AT25" s="274">
        <v>37.700000000000003</v>
      </c>
      <c r="AU25" s="273"/>
      <c r="AV25" s="274">
        <v>42.7</v>
      </c>
      <c r="AW25" s="273"/>
      <c r="AX25" s="274">
        <v>39.799999999999997</v>
      </c>
      <c r="AY25" s="274"/>
      <c r="AZ25" s="274">
        <v>39.6</v>
      </c>
      <c r="BA25" s="274"/>
      <c r="BB25" s="274">
        <v>39.4</v>
      </c>
      <c r="BC25" s="275"/>
      <c r="BD25" s="274">
        <v>39.299999999999997</v>
      </c>
      <c r="BE25" s="275"/>
      <c r="BF25" s="274">
        <v>36.9</v>
      </c>
      <c r="BG25" s="275"/>
      <c r="BH25" s="274">
        <v>34.9</v>
      </c>
      <c r="BI25" s="275"/>
      <c r="BJ25" s="274">
        <v>35.200000000000003</v>
      </c>
      <c r="BK25" s="275"/>
      <c r="BL25" s="275"/>
      <c r="BM25" s="275"/>
      <c r="BN25" s="275"/>
      <c r="BO25" s="275"/>
      <c r="BP25" s="275"/>
      <c r="BQ25" s="275"/>
      <c r="BR25" s="275"/>
      <c r="BS25" s="275"/>
      <c r="BT25" s="275"/>
      <c r="BU25" s="275"/>
      <c r="BV25" s="275"/>
      <c r="BW25" s="275"/>
      <c r="BX25" s="275"/>
      <c r="BY25" s="275"/>
      <c r="BZ25" s="275"/>
      <c r="CA25" s="275"/>
      <c r="CB25" s="275"/>
      <c r="CC25" s="275"/>
      <c r="CD25" s="275"/>
      <c r="CE25" s="275"/>
      <c r="CF25" s="275"/>
      <c r="CG25" s="275"/>
      <c r="CH25" s="275"/>
      <c r="CI25" s="275"/>
      <c r="CJ25" s="275"/>
      <c r="CK25" s="275"/>
      <c r="CL25" s="275"/>
      <c r="CM25" s="275"/>
      <c r="CN25" s="275"/>
      <c r="CO25" s="275"/>
      <c r="CP25" s="275"/>
      <c r="CQ25" s="275"/>
      <c r="CR25" s="275"/>
      <c r="CS25" s="275"/>
      <c r="CT25" s="275"/>
      <c r="CU25" s="275"/>
      <c r="CV25" s="275"/>
      <c r="CW25" s="275"/>
      <c r="CX25" s="275"/>
      <c r="CY25" s="275"/>
      <c r="CZ25" s="275"/>
      <c r="DA25" s="275"/>
      <c r="DB25" s="275"/>
      <c r="DC25" s="275"/>
      <c r="DD25" s="275"/>
      <c r="DE25" s="275"/>
      <c r="DF25" s="275"/>
      <c r="DG25" s="275"/>
      <c r="DH25" s="275"/>
      <c r="DI25" s="275"/>
      <c r="DJ25" s="275"/>
      <c r="DK25" s="275"/>
      <c r="DL25" s="275"/>
      <c r="DM25" s="275"/>
      <c r="DN25" s="275"/>
      <c r="DO25" s="275"/>
      <c r="DP25" s="275"/>
      <c r="DQ25" s="275"/>
      <c r="DR25" s="275"/>
      <c r="DS25" s="275"/>
      <c r="DT25" s="275"/>
      <c r="DU25" s="275"/>
      <c r="DV25" s="275"/>
      <c r="DW25" s="275"/>
      <c r="DX25" s="275"/>
      <c r="DY25" s="275"/>
      <c r="DZ25" s="275"/>
      <c r="EA25" s="275"/>
      <c r="EB25" s="275"/>
      <c r="EC25" s="275"/>
      <c r="ED25" s="275"/>
      <c r="EE25" s="275"/>
      <c r="EF25" s="275"/>
      <c r="EG25" s="275"/>
      <c r="EH25" s="275"/>
      <c r="EI25" s="275"/>
    </row>
    <row r="26" spans="1:139" s="191" customFormat="1" ht="12.6" customHeight="1">
      <c r="A26" s="255"/>
      <c r="B26" s="256"/>
      <c r="C26" s="257" t="s">
        <v>75</v>
      </c>
      <c r="D26" s="258"/>
      <c r="E26" s="259"/>
      <c r="F26" s="258"/>
      <c r="G26" s="259"/>
      <c r="H26" s="259"/>
      <c r="I26" s="259"/>
      <c r="J26" s="259"/>
      <c r="K26" s="259"/>
      <c r="L26" s="259"/>
      <c r="M26" s="259"/>
      <c r="N26" s="259"/>
      <c r="O26" s="259"/>
      <c r="P26" s="259"/>
      <c r="Q26" s="259"/>
      <c r="R26" s="259"/>
      <c r="S26" s="258"/>
      <c r="T26" s="259"/>
      <c r="U26" s="258"/>
      <c r="V26" s="259"/>
      <c r="W26" s="259"/>
      <c r="X26" s="259"/>
      <c r="Y26" s="258"/>
      <c r="Z26" s="259"/>
      <c r="AA26" s="258"/>
      <c r="AB26" s="259"/>
      <c r="AC26" s="258"/>
      <c r="AD26" s="259"/>
      <c r="AE26" s="258"/>
      <c r="AF26" s="259"/>
      <c r="AG26" s="258"/>
      <c r="AH26" s="259"/>
      <c r="AI26" s="258"/>
      <c r="AJ26" s="259"/>
      <c r="AK26" s="258"/>
      <c r="AL26" s="259"/>
      <c r="AM26" s="258"/>
      <c r="AN26" s="259"/>
      <c r="AO26" s="258"/>
      <c r="AP26" s="259"/>
      <c r="AQ26" s="259"/>
      <c r="AR26" s="259">
        <v>45.7</v>
      </c>
      <c r="AS26" s="258"/>
      <c r="AT26" s="259">
        <v>47.1</v>
      </c>
      <c r="AU26" s="259"/>
      <c r="AV26" s="259">
        <v>55.7</v>
      </c>
      <c r="AW26" s="258"/>
      <c r="AX26" s="259">
        <v>44.9</v>
      </c>
      <c r="AY26" s="259"/>
      <c r="AZ26" s="259">
        <v>43.3</v>
      </c>
      <c r="BA26" s="259"/>
      <c r="BB26" s="259">
        <v>43.3</v>
      </c>
      <c r="BC26" s="278"/>
      <c r="BD26" s="259">
        <v>44.1</v>
      </c>
      <c r="BE26" s="278"/>
      <c r="BF26" s="259">
        <v>40.9</v>
      </c>
      <c r="BG26" s="278"/>
      <c r="BH26" s="259">
        <v>37.9</v>
      </c>
      <c r="BI26" s="278"/>
      <c r="BJ26" s="259">
        <v>37.4</v>
      </c>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row>
    <row r="27" spans="1:139" s="191" customFormat="1" ht="12.6" customHeight="1">
      <c r="A27" s="255"/>
      <c r="B27" s="256"/>
      <c r="C27" s="257" t="s">
        <v>76</v>
      </c>
      <c r="D27" s="258"/>
      <c r="E27" s="259"/>
      <c r="F27" s="258"/>
      <c r="G27" s="259"/>
      <c r="H27" s="259"/>
      <c r="I27" s="259"/>
      <c r="J27" s="259"/>
      <c r="K27" s="259"/>
      <c r="L27" s="259"/>
      <c r="M27" s="259"/>
      <c r="N27" s="259"/>
      <c r="O27" s="259"/>
      <c r="P27" s="259"/>
      <c r="Q27" s="259"/>
      <c r="R27" s="259"/>
      <c r="S27" s="258"/>
      <c r="T27" s="259"/>
      <c r="U27" s="258"/>
      <c r="V27" s="259"/>
      <c r="W27" s="259"/>
      <c r="X27" s="259"/>
      <c r="Y27" s="258"/>
      <c r="Z27" s="259"/>
      <c r="AA27" s="258"/>
      <c r="AB27" s="259"/>
      <c r="AC27" s="258"/>
      <c r="AD27" s="259"/>
      <c r="AE27" s="258"/>
      <c r="AF27" s="259"/>
      <c r="AG27" s="258"/>
      <c r="AH27" s="259"/>
      <c r="AI27" s="258"/>
      <c r="AJ27" s="259"/>
      <c r="AK27" s="258"/>
      <c r="AL27" s="259"/>
      <c r="AM27" s="258"/>
      <c r="AN27" s="259"/>
      <c r="AO27" s="258"/>
      <c r="AP27" s="259"/>
      <c r="AQ27" s="259"/>
      <c r="AR27" s="259">
        <v>31.7</v>
      </c>
      <c r="AS27" s="258"/>
      <c r="AT27" s="259">
        <v>31.9</v>
      </c>
      <c r="AU27" s="259"/>
      <c r="AV27" s="259">
        <v>34.1</v>
      </c>
      <c r="AW27" s="258"/>
      <c r="AX27" s="259">
        <v>35.799999999999997</v>
      </c>
      <c r="AY27" s="259"/>
      <c r="AZ27" s="259">
        <v>36.6</v>
      </c>
      <c r="BA27" s="259"/>
      <c r="BB27" s="259">
        <v>36.6</v>
      </c>
      <c r="BC27" s="278"/>
      <c r="BD27" s="259">
        <v>36.1</v>
      </c>
      <c r="BE27" s="278"/>
      <c r="BF27" s="259">
        <v>34.200000000000003</v>
      </c>
      <c r="BG27" s="278"/>
      <c r="BH27" s="259">
        <v>33</v>
      </c>
      <c r="BI27" s="278"/>
      <c r="BJ27" s="259">
        <v>33.700000000000003</v>
      </c>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row>
    <row r="28" spans="1:139" s="276" customFormat="1" ht="12.9" customHeight="1">
      <c r="A28" s="271"/>
      <c r="B28" s="272" t="s">
        <v>3</v>
      </c>
      <c r="C28" s="273"/>
      <c r="D28" s="274">
        <v>13.5</v>
      </c>
      <c r="E28" s="274"/>
      <c r="F28" s="274">
        <v>14.4</v>
      </c>
      <c r="G28" s="274"/>
      <c r="H28" s="274">
        <v>13.7</v>
      </c>
      <c r="I28" s="274"/>
      <c r="J28" s="274">
        <v>13.7</v>
      </c>
      <c r="K28" s="274"/>
      <c r="L28" s="274">
        <v>15.6</v>
      </c>
      <c r="M28" s="274"/>
      <c r="N28" s="274">
        <v>14</v>
      </c>
      <c r="O28" s="274"/>
      <c r="P28" s="274">
        <v>12.9</v>
      </c>
      <c r="Q28" s="274"/>
      <c r="R28" s="274">
        <v>14.572916666666666</v>
      </c>
      <c r="S28" s="273"/>
      <c r="T28" s="274">
        <v>14</v>
      </c>
      <c r="U28" s="273"/>
      <c r="V28" s="274">
        <v>13.7</v>
      </c>
      <c r="W28" s="274"/>
      <c r="X28" s="274">
        <v>14.4</v>
      </c>
      <c r="Y28" s="273"/>
      <c r="Z28" s="274">
        <v>12.7</v>
      </c>
      <c r="AA28" s="273"/>
      <c r="AB28" s="274">
        <v>13.2</v>
      </c>
      <c r="AC28" s="273"/>
      <c r="AD28" s="274">
        <v>11.1</v>
      </c>
      <c r="AE28" s="273"/>
      <c r="AF28" s="274">
        <v>13.3</v>
      </c>
      <c r="AG28" s="273"/>
      <c r="AH28" s="274">
        <v>12.2</v>
      </c>
      <c r="AI28" s="273"/>
      <c r="AJ28" s="274">
        <v>11.8</v>
      </c>
      <c r="AK28" s="273"/>
      <c r="AL28" s="274">
        <v>12.9</v>
      </c>
      <c r="AM28" s="273"/>
      <c r="AN28" s="274">
        <v>13.2</v>
      </c>
      <c r="AO28" s="273"/>
      <c r="AP28" s="274">
        <v>13.2</v>
      </c>
      <c r="AQ28" s="274"/>
      <c r="AR28" s="274">
        <v>14.1</v>
      </c>
      <c r="AS28" s="273"/>
      <c r="AT28" s="274">
        <v>14.6</v>
      </c>
      <c r="AU28" s="273"/>
      <c r="AV28" s="274">
        <v>16.600000000000001</v>
      </c>
      <c r="AW28" s="273"/>
      <c r="AX28" s="274">
        <v>16.5</v>
      </c>
      <c r="AY28" s="274"/>
      <c r="AZ28" s="274">
        <v>15.9</v>
      </c>
      <c r="BA28" s="274"/>
      <c r="BB28" s="274">
        <v>17.2</v>
      </c>
      <c r="BC28" s="277"/>
      <c r="BD28" s="274">
        <v>15.6</v>
      </c>
      <c r="BE28" s="277"/>
      <c r="BF28" s="274">
        <v>13.4</v>
      </c>
      <c r="BG28" s="277"/>
      <c r="BH28" s="274">
        <v>10.6</v>
      </c>
      <c r="BI28" s="277"/>
      <c r="BJ28" s="274">
        <v>11.5</v>
      </c>
      <c r="BK28" s="277"/>
      <c r="BL28" s="275"/>
      <c r="BM28" s="275"/>
      <c r="BN28" s="275"/>
      <c r="BO28" s="275"/>
      <c r="BP28" s="275"/>
      <c r="BQ28" s="275"/>
      <c r="BR28" s="275"/>
      <c r="BS28" s="275"/>
      <c r="BT28" s="275"/>
      <c r="BU28" s="275"/>
      <c r="BV28" s="275"/>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75"/>
      <c r="CZ28" s="275"/>
      <c r="DA28" s="275"/>
      <c r="DB28" s="275"/>
      <c r="DC28" s="275"/>
      <c r="DD28" s="275"/>
      <c r="DE28" s="275"/>
      <c r="DF28" s="275"/>
      <c r="DG28" s="275"/>
      <c r="DH28" s="275"/>
      <c r="DI28" s="275"/>
      <c r="DJ28" s="275"/>
      <c r="DK28" s="275"/>
      <c r="DL28" s="275"/>
      <c r="DM28" s="275"/>
      <c r="DN28" s="275"/>
      <c r="DO28" s="275"/>
      <c r="DP28" s="275"/>
      <c r="DQ28" s="275"/>
      <c r="DR28" s="275"/>
      <c r="DS28" s="275"/>
      <c r="DT28" s="275"/>
      <c r="DU28" s="275"/>
      <c r="DV28" s="275"/>
      <c r="DW28" s="275"/>
      <c r="DX28" s="275"/>
      <c r="DY28" s="275"/>
      <c r="DZ28" s="275"/>
      <c r="EA28" s="275"/>
      <c r="EB28" s="275"/>
      <c r="EC28" s="275"/>
      <c r="ED28" s="275"/>
      <c r="EE28" s="275"/>
      <c r="EF28" s="275"/>
      <c r="EG28" s="275"/>
      <c r="EH28" s="275"/>
      <c r="EI28" s="275"/>
    </row>
    <row r="29" spans="1:139" s="246" customFormat="1" ht="12.75" hidden="1" customHeight="1">
      <c r="A29" s="261" t="s">
        <v>17</v>
      </c>
      <c r="B29" s="160"/>
      <c r="C29" s="251"/>
      <c r="D29" s="17">
        <v>30.9</v>
      </c>
      <c r="E29" s="17"/>
      <c r="F29" s="17">
        <v>33.299999999999997</v>
      </c>
      <c r="G29" s="17"/>
      <c r="H29" s="17">
        <v>27.1</v>
      </c>
      <c r="I29" s="17"/>
      <c r="J29" s="17">
        <v>30</v>
      </c>
      <c r="K29" s="17"/>
      <c r="L29" s="17">
        <v>29.6</v>
      </c>
      <c r="M29" s="17"/>
      <c r="N29" s="17">
        <v>24.3</v>
      </c>
      <c r="O29" s="17"/>
      <c r="P29" s="17">
        <v>24.8</v>
      </c>
      <c r="Q29" s="17"/>
      <c r="R29" s="17">
        <v>28.30472103004292</v>
      </c>
      <c r="S29" s="251"/>
      <c r="T29" s="17">
        <v>32.200000000000003</v>
      </c>
      <c r="U29" s="251"/>
      <c r="V29" s="17">
        <v>38.1</v>
      </c>
      <c r="W29" s="17"/>
      <c r="X29" s="17">
        <v>30.6</v>
      </c>
      <c r="Y29" s="251"/>
      <c r="Z29" s="17">
        <v>27.2</v>
      </c>
      <c r="AA29" s="251"/>
      <c r="AB29" s="17">
        <v>30.4</v>
      </c>
      <c r="AC29" s="251"/>
      <c r="AD29" s="17" t="s">
        <v>0</v>
      </c>
      <c r="AE29" s="251"/>
      <c r="AF29" s="17" t="s">
        <v>0</v>
      </c>
      <c r="AG29" s="251"/>
      <c r="AH29" s="17" t="s">
        <v>0</v>
      </c>
      <c r="AI29" s="251"/>
      <c r="AJ29" s="17" t="s">
        <v>0</v>
      </c>
      <c r="AK29" s="251"/>
      <c r="AL29" s="17" t="s">
        <v>0</v>
      </c>
      <c r="AM29" s="251"/>
      <c r="AN29" s="17" t="s">
        <v>0</v>
      </c>
      <c r="AO29" s="251"/>
      <c r="AP29" s="17" t="s">
        <v>0</v>
      </c>
      <c r="AQ29" s="17"/>
      <c r="AR29" s="17"/>
      <c r="AS29" s="251"/>
      <c r="AT29" s="17"/>
      <c r="AU29" s="251"/>
      <c r="AV29" s="17"/>
      <c r="AW29" s="251"/>
      <c r="AX29" s="17"/>
      <c r="AY29" s="17"/>
      <c r="AZ29" s="17"/>
      <c r="BA29" s="17"/>
      <c r="BB29" s="17"/>
      <c r="BC29"/>
      <c r="BD29" s="17"/>
      <c r="BE29"/>
      <c r="BF29" s="17"/>
      <c r="BG29"/>
      <c r="BH29" s="17"/>
      <c r="BI29"/>
      <c r="BJ29" s="17"/>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row>
    <row r="30" spans="1:139" s="246" customFormat="1" ht="12.75" hidden="1" customHeight="1">
      <c r="A30" s="252"/>
      <c r="B30" s="253" t="s">
        <v>2</v>
      </c>
      <c r="C30" s="252"/>
      <c r="D30" s="254">
        <v>33.700000000000003</v>
      </c>
      <c r="E30" s="254"/>
      <c r="F30" s="254">
        <v>37.9</v>
      </c>
      <c r="G30" s="254"/>
      <c r="H30" s="254">
        <v>30.7</v>
      </c>
      <c r="I30" s="254"/>
      <c r="J30" s="254">
        <v>33.5</v>
      </c>
      <c r="K30" s="254"/>
      <c r="L30" s="254">
        <v>33.6</v>
      </c>
      <c r="M30" s="254"/>
      <c r="N30" s="254">
        <v>26.4</v>
      </c>
      <c r="O30" s="254"/>
      <c r="P30" s="254">
        <v>27.1</v>
      </c>
      <c r="Q30" s="254"/>
      <c r="R30" s="254">
        <v>30.811594202898551</v>
      </c>
      <c r="S30" s="252"/>
      <c r="T30" s="254">
        <v>35.6</v>
      </c>
      <c r="U30" s="252"/>
      <c r="V30" s="254">
        <v>41.9</v>
      </c>
      <c r="W30" s="254"/>
      <c r="X30" s="254">
        <v>34</v>
      </c>
      <c r="Y30" s="252"/>
      <c r="Z30" s="254">
        <v>29.8</v>
      </c>
      <c r="AA30" s="252"/>
      <c r="AB30" s="254">
        <v>33.5</v>
      </c>
      <c r="AC30" s="252"/>
      <c r="AD30" s="254" t="s">
        <v>0</v>
      </c>
      <c r="AE30" s="252"/>
      <c r="AF30" s="254" t="s">
        <v>0</v>
      </c>
      <c r="AG30" s="252"/>
      <c r="AH30" s="254" t="s">
        <v>0</v>
      </c>
      <c r="AI30" s="252"/>
      <c r="AJ30" s="254" t="s">
        <v>0</v>
      </c>
      <c r="AK30" s="252"/>
      <c r="AL30" s="254" t="s">
        <v>0</v>
      </c>
      <c r="AM30" s="252"/>
      <c r="AN30" s="254" t="s">
        <v>0</v>
      </c>
      <c r="AO30" s="252"/>
      <c r="AP30" s="254" t="s">
        <v>0</v>
      </c>
      <c r="AQ30" s="254"/>
      <c r="AR30" s="254"/>
      <c r="AS30" s="252"/>
      <c r="AT30" s="254"/>
      <c r="AU30" s="252"/>
      <c r="AV30" s="254"/>
      <c r="AW30" s="252"/>
      <c r="AX30" s="254"/>
      <c r="AY30" s="254"/>
      <c r="AZ30" s="254"/>
      <c r="BA30" s="254"/>
      <c r="BB30" s="254"/>
      <c r="BC30"/>
      <c r="BD30" s="254"/>
      <c r="BE30"/>
      <c r="BF30" s="254"/>
      <c r="BG30"/>
      <c r="BH30" s="254"/>
      <c r="BI30"/>
      <c r="BJ30" s="254"/>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row>
    <row r="31" spans="1:139" s="246" customFormat="1" ht="12.75" hidden="1" customHeight="1">
      <c r="A31" s="260"/>
      <c r="B31" s="262" t="s">
        <v>3</v>
      </c>
      <c r="C31" s="260"/>
      <c r="D31" s="263">
        <v>11.7</v>
      </c>
      <c r="E31" s="263"/>
      <c r="F31" s="263">
        <v>11.9</v>
      </c>
      <c r="G31" s="263"/>
      <c r="H31" s="263">
        <v>10</v>
      </c>
      <c r="I31" s="263"/>
      <c r="J31" s="263">
        <v>11.7</v>
      </c>
      <c r="K31" s="263"/>
      <c r="L31" s="263">
        <v>10.3</v>
      </c>
      <c r="M31" s="263"/>
      <c r="N31" s="263">
        <v>10.1</v>
      </c>
      <c r="O31" s="263"/>
      <c r="P31" s="263">
        <v>9.4</v>
      </c>
      <c r="Q31" s="263"/>
      <c r="R31" s="263">
        <v>8.3461538461538467</v>
      </c>
      <c r="S31" s="260"/>
      <c r="T31" s="263">
        <v>10.4</v>
      </c>
      <c r="U31" s="260"/>
      <c r="V31" s="263">
        <v>9.3000000000000007</v>
      </c>
      <c r="W31" s="263"/>
      <c r="X31" s="263">
        <v>9.8000000000000007</v>
      </c>
      <c r="Y31" s="260"/>
      <c r="Z31" s="263">
        <v>8.1</v>
      </c>
      <c r="AA31" s="260"/>
      <c r="AB31" s="263">
        <v>9.3000000000000007</v>
      </c>
      <c r="AC31" s="260"/>
      <c r="AD31" s="263" t="s">
        <v>0</v>
      </c>
      <c r="AE31" s="260"/>
      <c r="AF31" s="263" t="s">
        <v>0</v>
      </c>
      <c r="AG31" s="260"/>
      <c r="AH31" s="263" t="s">
        <v>0</v>
      </c>
      <c r="AI31" s="260"/>
      <c r="AJ31" s="263" t="s">
        <v>0</v>
      </c>
      <c r="AK31" s="260"/>
      <c r="AL31" s="263" t="s">
        <v>0</v>
      </c>
      <c r="AM31" s="260"/>
      <c r="AN31" s="263" t="s">
        <v>0</v>
      </c>
      <c r="AO31" s="260"/>
      <c r="AP31" s="263" t="s">
        <v>0</v>
      </c>
      <c r="AQ31" s="263"/>
      <c r="AR31" s="254"/>
      <c r="AS31" s="252"/>
      <c r="AT31" s="254"/>
      <c r="AU31" s="252"/>
      <c r="AV31" s="254"/>
      <c r="AW31" s="252"/>
      <c r="AX31" s="254"/>
      <c r="AY31" s="254"/>
      <c r="AZ31" s="254"/>
      <c r="BA31" s="254"/>
      <c r="BB31" s="254"/>
      <c r="BC31"/>
      <c r="BD31" s="254"/>
      <c r="BE31"/>
      <c r="BF31" s="254"/>
      <c r="BG31"/>
      <c r="BH31" s="254"/>
      <c r="BI31"/>
      <c r="BJ31" s="254"/>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row>
    <row r="32" spans="1:139" s="246" customFormat="1" ht="12" customHeight="1">
      <c r="A32" s="326" t="s">
        <v>96</v>
      </c>
      <c r="B32" s="326"/>
      <c r="C32" s="326"/>
      <c r="D32" s="248"/>
      <c r="E32" s="248"/>
      <c r="F32" s="248"/>
      <c r="G32" s="248"/>
      <c r="H32" s="248"/>
      <c r="I32" s="248"/>
      <c r="J32" s="248"/>
      <c r="K32" s="248"/>
      <c r="L32" s="248"/>
      <c r="M32" s="248"/>
      <c r="N32" s="248"/>
      <c r="O32" s="248"/>
      <c r="P32" s="248"/>
      <c r="Q32" s="248"/>
      <c r="R32" s="248"/>
      <c r="S32" s="247"/>
      <c r="T32" s="248"/>
      <c r="U32" s="247"/>
      <c r="V32" s="248"/>
      <c r="W32" s="248"/>
      <c r="X32" s="248"/>
      <c r="Y32" s="247"/>
      <c r="Z32" s="248"/>
      <c r="AA32" s="247"/>
      <c r="AB32" s="248"/>
      <c r="AC32" s="247"/>
      <c r="AD32" s="248">
        <v>26.1</v>
      </c>
      <c r="AE32" s="247"/>
      <c r="AF32" s="248">
        <v>26.7</v>
      </c>
      <c r="AG32" s="247"/>
      <c r="AH32" s="248">
        <v>25.8</v>
      </c>
      <c r="AI32" s="247"/>
      <c r="AJ32" s="248">
        <v>27.9</v>
      </c>
      <c r="AK32" s="247"/>
      <c r="AL32" s="248">
        <v>27.5</v>
      </c>
      <c r="AM32" s="247"/>
      <c r="AN32" s="248">
        <v>29.3</v>
      </c>
      <c r="AO32" s="247"/>
      <c r="AP32" s="248">
        <v>32.9</v>
      </c>
      <c r="AQ32" s="248"/>
      <c r="AR32" s="249">
        <v>34.700000000000003</v>
      </c>
      <c r="AS32" s="250"/>
      <c r="AT32" s="249">
        <v>36.4</v>
      </c>
      <c r="AU32" s="250"/>
      <c r="AV32" s="249">
        <v>37.9</v>
      </c>
      <c r="AW32" s="250"/>
      <c r="AX32" s="249">
        <v>36.5</v>
      </c>
      <c r="AY32" s="249"/>
      <c r="AZ32" s="249">
        <v>36.1</v>
      </c>
      <c r="BA32" s="249"/>
      <c r="BB32" s="249">
        <v>34.4</v>
      </c>
      <c r="BC32"/>
      <c r="BD32" s="249">
        <v>32.6</v>
      </c>
      <c r="BE32"/>
      <c r="BF32" s="249">
        <v>30.4</v>
      </c>
      <c r="BG32"/>
      <c r="BH32" s="249">
        <v>29.2</v>
      </c>
      <c r="BI32"/>
      <c r="BJ32" s="249">
        <v>29.4</v>
      </c>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row>
    <row r="33" spans="1:139" s="276" customFormat="1" ht="12.9" customHeight="1">
      <c r="A33" s="273"/>
      <c r="B33" s="272" t="s">
        <v>2</v>
      </c>
      <c r="C33" s="273"/>
      <c r="D33" s="274"/>
      <c r="E33" s="274"/>
      <c r="F33" s="274"/>
      <c r="G33" s="274"/>
      <c r="H33" s="274"/>
      <c r="I33" s="274"/>
      <c r="J33" s="274"/>
      <c r="K33" s="274"/>
      <c r="L33" s="274"/>
      <c r="M33" s="274"/>
      <c r="N33" s="274"/>
      <c r="O33" s="274"/>
      <c r="P33" s="274"/>
      <c r="Q33" s="274"/>
      <c r="R33" s="274"/>
      <c r="S33" s="273"/>
      <c r="T33" s="274"/>
      <c r="U33" s="273"/>
      <c r="V33" s="274"/>
      <c r="W33" s="274"/>
      <c r="X33" s="274"/>
      <c r="Y33" s="273"/>
      <c r="Z33" s="274"/>
      <c r="AA33" s="273"/>
      <c r="AB33" s="274"/>
      <c r="AC33" s="273"/>
      <c r="AD33" s="274">
        <v>29.8</v>
      </c>
      <c r="AE33" s="273"/>
      <c r="AF33" s="274">
        <v>30.4</v>
      </c>
      <c r="AG33" s="273"/>
      <c r="AH33" s="274">
        <v>30.8</v>
      </c>
      <c r="AI33" s="273"/>
      <c r="AJ33" s="274">
        <v>33.799999999999997</v>
      </c>
      <c r="AK33" s="273"/>
      <c r="AL33" s="274">
        <v>32.799999999999997</v>
      </c>
      <c r="AM33" s="273"/>
      <c r="AN33" s="274">
        <v>35.299999999999997</v>
      </c>
      <c r="AO33" s="273"/>
      <c r="AP33" s="274">
        <v>40.799999999999997</v>
      </c>
      <c r="AQ33" s="274"/>
      <c r="AR33" s="274">
        <v>43.1</v>
      </c>
      <c r="AS33" s="273"/>
      <c r="AT33" s="274">
        <v>44.8</v>
      </c>
      <c r="AU33" s="273"/>
      <c r="AV33" s="274">
        <v>45.7</v>
      </c>
      <c r="AW33" s="273"/>
      <c r="AX33" s="274">
        <v>44.9</v>
      </c>
      <c r="AY33" s="274"/>
      <c r="AZ33" s="274">
        <v>43.6</v>
      </c>
      <c r="BA33" s="274"/>
      <c r="BB33" s="274">
        <v>41.2</v>
      </c>
      <c r="BC33" s="275"/>
      <c r="BD33" s="274">
        <v>38.200000000000003</v>
      </c>
      <c r="BE33" s="275"/>
      <c r="BF33" s="274">
        <v>35.9</v>
      </c>
      <c r="BG33" s="275"/>
      <c r="BH33" s="274">
        <v>35</v>
      </c>
      <c r="BI33" s="275"/>
      <c r="BJ33" s="274">
        <v>34.9</v>
      </c>
      <c r="BK33" s="275"/>
      <c r="BL33" s="275"/>
      <c r="BM33" s="275"/>
      <c r="BN33" s="275"/>
      <c r="BO33" s="275"/>
      <c r="BP33" s="275"/>
      <c r="BQ33" s="275"/>
      <c r="BR33" s="275"/>
      <c r="BS33" s="275"/>
      <c r="BT33" s="275"/>
      <c r="BU33" s="275"/>
      <c r="BV33" s="275"/>
      <c r="BW33" s="275"/>
      <c r="BX33" s="275"/>
      <c r="BY33" s="275"/>
      <c r="BZ33" s="275"/>
      <c r="CA33" s="275"/>
      <c r="CB33" s="275"/>
      <c r="CC33" s="275"/>
      <c r="CD33" s="275"/>
      <c r="CE33" s="275"/>
      <c r="CF33" s="275"/>
      <c r="CG33" s="275"/>
      <c r="CH33" s="275"/>
      <c r="CI33" s="275"/>
      <c r="CJ33" s="275"/>
      <c r="CK33" s="275"/>
      <c r="CL33" s="275"/>
      <c r="CM33" s="275"/>
      <c r="CN33" s="275"/>
      <c r="CO33" s="275"/>
      <c r="CP33" s="275"/>
      <c r="CQ33" s="275"/>
      <c r="CR33" s="275"/>
      <c r="CS33" s="275"/>
      <c r="CT33" s="275"/>
      <c r="CU33" s="275"/>
      <c r="CV33" s="275"/>
      <c r="CW33" s="275"/>
      <c r="CX33" s="275"/>
      <c r="CY33" s="275"/>
      <c r="CZ33" s="275"/>
      <c r="DA33" s="275"/>
      <c r="DB33" s="275"/>
      <c r="DC33" s="275"/>
      <c r="DD33" s="275"/>
      <c r="DE33" s="275"/>
      <c r="DF33" s="275"/>
      <c r="DG33" s="275"/>
      <c r="DH33" s="275"/>
      <c r="DI33" s="275"/>
      <c r="DJ33" s="275"/>
      <c r="DK33" s="275"/>
      <c r="DL33" s="275"/>
      <c r="DM33" s="275"/>
      <c r="DN33" s="275"/>
      <c r="DO33" s="275"/>
      <c r="DP33" s="275"/>
      <c r="DQ33" s="275"/>
      <c r="DR33" s="275"/>
      <c r="DS33" s="275"/>
      <c r="DT33" s="275"/>
      <c r="DU33" s="275"/>
      <c r="DV33" s="275"/>
      <c r="DW33" s="275"/>
      <c r="DX33" s="275"/>
      <c r="DY33" s="275"/>
      <c r="DZ33" s="275"/>
      <c r="EA33" s="275"/>
      <c r="EB33" s="275"/>
      <c r="EC33" s="275"/>
      <c r="ED33" s="275"/>
      <c r="EE33" s="275"/>
      <c r="EF33" s="275"/>
      <c r="EG33" s="275"/>
      <c r="EH33" s="275"/>
      <c r="EI33" s="275"/>
    </row>
    <row r="34" spans="1:139" s="191" customFormat="1" ht="12.6" customHeight="1">
      <c r="A34" s="255"/>
      <c r="B34" s="256"/>
      <c r="C34" s="257" t="s">
        <v>75</v>
      </c>
      <c r="D34" s="258"/>
      <c r="E34" s="259"/>
      <c r="F34" s="258"/>
      <c r="G34" s="259"/>
      <c r="H34" s="259"/>
      <c r="I34" s="259"/>
      <c r="J34" s="259"/>
      <c r="K34" s="259"/>
      <c r="L34" s="259"/>
      <c r="M34" s="259"/>
      <c r="N34" s="259"/>
      <c r="O34" s="259"/>
      <c r="P34" s="259"/>
      <c r="Q34" s="259"/>
      <c r="R34" s="259"/>
      <c r="S34" s="258"/>
      <c r="T34" s="259"/>
      <c r="U34" s="258"/>
      <c r="V34" s="259"/>
      <c r="W34" s="259"/>
      <c r="X34" s="259"/>
      <c r="Y34" s="258"/>
      <c r="Z34" s="259"/>
      <c r="AA34" s="258"/>
      <c r="AB34" s="259"/>
      <c r="AC34" s="258"/>
      <c r="AD34" s="259"/>
      <c r="AE34" s="258"/>
      <c r="AF34" s="259"/>
      <c r="AG34" s="258"/>
      <c r="AH34" s="259"/>
      <c r="AI34" s="258"/>
      <c r="AJ34" s="259"/>
      <c r="AK34" s="258"/>
      <c r="AL34" s="259"/>
      <c r="AM34" s="258"/>
      <c r="AN34" s="259"/>
      <c r="AO34" s="258"/>
      <c r="AP34" s="259"/>
      <c r="AQ34" s="259"/>
      <c r="AR34" s="259">
        <v>50.1</v>
      </c>
      <c r="AS34" s="258"/>
      <c r="AT34" s="259">
        <v>51.1</v>
      </c>
      <c r="AU34" s="259"/>
      <c r="AV34" s="259">
        <v>52.3</v>
      </c>
      <c r="AW34" s="258"/>
      <c r="AX34" s="259">
        <v>49</v>
      </c>
      <c r="AY34" s="259"/>
      <c r="AZ34" s="259">
        <v>48.6</v>
      </c>
      <c r="BA34" s="259"/>
      <c r="BB34" s="259">
        <v>45.5</v>
      </c>
      <c r="BC34" s="278"/>
      <c r="BD34" s="259">
        <v>41.7</v>
      </c>
      <c r="BE34" s="278"/>
      <c r="BF34" s="259">
        <v>41.8</v>
      </c>
      <c r="BG34" s="278"/>
      <c r="BH34" s="259">
        <v>40.4</v>
      </c>
      <c r="BI34" s="278"/>
      <c r="BJ34" s="259">
        <v>40.5</v>
      </c>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row>
    <row r="35" spans="1:139" s="191" customFormat="1" ht="12.6" customHeight="1">
      <c r="A35" s="255"/>
      <c r="B35" s="256"/>
      <c r="C35" s="257" t="s">
        <v>76</v>
      </c>
      <c r="D35" s="258"/>
      <c r="E35" s="259"/>
      <c r="F35" s="258"/>
      <c r="G35" s="259"/>
      <c r="H35" s="259"/>
      <c r="I35" s="259"/>
      <c r="J35" s="259"/>
      <c r="K35" s="259"/>
      <c r="L35" s="259"/>
      <c r="M35" s="259"/>
      <c r="N35" s="259"/>
      <c r="O35" s="259"/>
      <c r="P35" s="259"/>
      <c r="Q35" s="259"/>
      <c r="R35" s="259"/>
      <c r="S35" s="258"/>
      <c r="T35" s="259"/>
      <c r="U35" s="258"/>
      <c r="V35" s="259"/>
      <c r="W35" s="259"/>
      <c r="X35" s="259"/>
      <c r="Y35" s="258"/>
      <c r="Z35" s="259"/>
      <c r="AA35" s="258"/>
      <c r="AB35" s="259"/>
      <c r="AC35" s="258"/>
      <c r="AD35" s="259"/>
      <c r="AE35" s="258"/>
      <c r="AF35" s="259"/>
      <c r="AG35" s="258"/>
      <c r="AH35" s="259"/>
      <c r="AI35" s="258"/>
      <c r="AJ35" s="259"/>
      <c r="AK35" s="258"/>
      <c r="AL35" s="259"/>
      <c r="AM35" s="258"/>
      <c r="AN35" s="259"/>
      <c r="AO35" s="258"/>
      <c r="AP35" s="259"/>
      <c r="AQ35" s="259"/>
      <c r="AR35" s="259">
        <v>34.700000000000003</v>
      </c>
      <c r="AS35" s="258"/>
      <c r="AT35" s="259">
        <v>37.6</v>
      </c>
      <c r="AU35" s="259"/>
      <c r="AV35" s="259">
        <v>38.6</v>
      </c>
      <c r="AW35" s="258"/>
      <c r="AX35" s="259">
        <v>40.1</v>
      </c>
      <c r="AY35" s="259"/>
      <c r="AZ35" s="259">
        <v>38.299999999999997</v>
      </c>
      <c r="BA35" s="259"/>
      <c r="BB35" s="259">
        <v>36.5</v>
      </c>
      <c r="BC35" s="278"/>
      <c r="BD35" s="259">
        <v>34.4</v>
      </c>
      <c r="BE35" s="278"/>
      <c r="BF35" s="259">
        <v>30.3</v>
      </c>
      <c r="BG35" s="278"/>
      <c r="BH35" s="259">
        <v>30</v>
      </c>
      <c r="BI35" s="278"/>
      <c r="BJ35" s="259">
        <v>29.6</v>
      </c>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row>
    <row r="36" spans="1:139" s="276" customFormat="1" ht="12.6" customHeight="1">
      <c r="A36" s="271"/>
      <c r="B36" s="272" t="s">
        <v>3</v>
      </c>
      <c r="C36" s="273"/>
      <c r="D36" s="274"/>
      <c r="E36" s="274"/>
      <c r="F36" s="274"/>
      <c r="G36" s="274"/>
      <c r="H36" s="274"/>
      <c r="I36" s="274"/>
      <c r="J36" s="274"/>
      <c r="K36" s="274"/>
      <c r="L36" s="274"/>
      <c r="M36" s="274"/>
      <c r="N36" s="274"/>
      <c r="O36" s="274"/>
      <c r="P36" s="274"/>
      <c r="Q36" s="274"/>
      <c r="R36" s="274"/>
      <c r="S36" s="273"/>
      <c r="T36" s="274"/>
      <c r="U36" s="273"/>
      <c r="V36" s="274"/>
      <c r="W36" s="274"/>
      <c r="X36" s="274"/>
      <c r="Y36" s="273"/>
      <c r="Z36" s="274"/>
      <c r="AA36" s="273"/>
      <c r="AB36" s="274"/>
      <c r="AC36" s="273"/>
      <c r="AD36" s="274">
        <v>10.4</v>
      </c>
      <c r="AE36" s="273"/>
      <c r="AF36" s="274">
        <v>9</v>
      </c>
      <c r="AG36" s="273"/>
      <c r="AH36" s="274">
        <v>9.6999999999999993</v>
      </c>
      <c r="AI36" s="273"/>
      <c r="AJ36" s="274">
        <v>9.4</v>
      </c>
      <c r="AK36" s="273"/>
      <c r="AL36" s="274">
        <v>10.3</v>
      </c>
      <c r="AM36" s="273"/>
      <c r="AN36" s="274">
        <v>10.3</v>
      </c>
      <c r="AO36" s="273"/>
      <c r="AP36" s="274">
        <v>10.1</v>
      </c>
      <c r="AQ36" s="274"/>
      <c r="AR36" s="274">
        <v>9.3000000000000007</v>
      </c>
      <c r="AS36" s="273"/>
      <c r="AT36" s="274">
        <v>9.4</v>
      </c>
      <c r="AU36" s="273"/>
      <c r="AV36" s="274">
        <v>10.9</v>
      </c>
      <c r="AW36" s="273"/>
      <c r="AX36" s="274">
        <v>8.4</v>
      </c>
      <c r="AY36" s="274"/>
      <c r="AZ36" s="274">
        <v>8.5</v>
      </c>
      <c r="BA36" s="274"/>
      <c r="BB36" s="274">
        <v>7.8</v>
      </c>
      <c r="BC36" s="277"/>
      <c r="BD36" s="274">
        <v>8.3000000000000007</v>
      </c>
      <c r="BE36" s="277"/>
      <c r="BF36" s="274">
        <v>7.9</v>
      </c>
      <c r="BG36" s="277"/>
      <c r="BH36" s="274">
        <v>7.9</v>
      </c>
      <c r="BI36" s="277"/>
      <c r="BJ36" s="274">
        <v>8.1999999999999993</v>
      </c>
      <c r="BK36" s="277"/>
      <c r="BL36" s="275"/>
      <c r="BM36" s="275"/>
      <c r="BN36" s="275"/>
      <c r="BO36" s="275"/>
      <c r="BP36" s="275"/>
      <c r="BQ36" s="275"/>
      <c r="BR36" s="275"/>
      <c r="BS36" s="275"/>
      <c r="BT36" s="275"/>
      <c r="BU36" s="275"/>
      <c r="BV36" s="275"/>
      <c r="BW36" s="275"/>
      <c r="BX36" s="275"/>
      <c r="BY36" s="275"/>
      <c r="BZ36" s="275"/>
      <c r="CA36" s="275"/>
      <c r="CB36" s="275"/>
      <c r="CC36" s="275"/>
      <c r="CD36" s="275"/>
      <c r="CE36" s="275"/>
      <c r="CF36" s="275"/>
      <c r="CG36" s="275"/>
      <c r="CH36" s="275"/>
      <c r="CI36" s="275"/>
      <c r="CJ36" s="275"/>
      <c r="CK36" s="275"/>
      <c r="CL36" s="275"/>
      <c r="CM36" s="275"/>
      <c r="CN36" s="275"/>
      <c r="CO36" s="275"/>
      <c r="CP36" s="275"/>
      <c r="CQ36" s="275"/>
      <c r="CR36" s="275"/>
      <c r="CS36" s="275"/>
      <c r="CT36" s="275"/>
      <c r="CU36" s="275"/>
      <c r="CV36" s="275"/>
      <c r="CW36" s="275"/>
      <c r="CX36" s="275"/>
      <c r="CY36" s="275"/>
      <c r="CZ36" s="275"/>
      <c r="DA36" s="275"/>
      <c r="DB36" s="275"/>
      <c r="DC36" s="275"/>
      <c r="DD36" s="275"/>
      <c r="DE36" s="275"/>
      <c r="DF36" s="275"/>
      <c r="DG36" s="275"/>
      <c r="DH36" s="275"/>
      <c r="DI36" s="275"/>
      <c r="DJ36" s="275"/>
      <c r="DK36" s="275"/>
      <c r="DL36" s="275"/>
      <c r="DM36" s="275"/>
      <c r="DN36" s="275"/>
      <c r="DO36" s="275"/>
      <c r="DP36" s="275"/>
      <c r="DQ36" s="275"/>
      <c r="DR36" s="275"/>
      <c r="DS36" s="275"/>
      <c r="DT36" s="275"/>
      <c r="DU36" s="275"/>
      <c r="DV36" s="275"/>
      <c r="DW36" s="275"/>
      <c r="DX36" s="275"/>
      <c r="DY36" s="275"/>
      <c r="DZ36" s="275"/>
      <c r="EA36" s="275"/>
      <c r="EB36" s="275"/>
      <c r="EC36" s="275"/>
      <c r="ED36" s="275"/>
      <c r="EE36" s="275"/>
      <c r="EF36" s="275"/>
      <c r="EG36" s="275"/>
      <c r="EH36" s="275"/>
      <c r="EI36" s="275"/>
    </row>
    <row r="37" spans="1:139" s="246" customFormat="1" ht="12" customHeight="1">
      <c r="A37" s="326" t="s">
        <v>97</v>
      </c>
      <c r="B37" s="326"/>
      <c r="C37" s="326"/>
      <c r="D37" s="248">
        <v>34.6</v>
      </c>
      <c r="E37" s="248"/>
      <c r="F37" s="248">
        <v>33.299999999999997</v>
      </c>
      <c r="G37" s="248"/>
      <c r="H37" s="248">
        <v>32.6</v>
      </c>
      <c r="I37" s="248"/>
      <c r="J37" s="248">
        <v>32.700000000000003</v>
      </c>
      <c r="K37" s="248"/>
      <c r="L37" s="248">
        <v>31.1</v>
      </c>
      <c r="M37" s="248"/>
      <c r="N37" s="248">
        <v>32.200000000000003</v>
      </c>
      <c r="O37" s="248"/>
      <c r="P37" s="248">
        <v>31.4</v>
      </c>
      <c r="Q37" s="248"/>
      <c r="R37" s="248">
        <v>33.296003513394815</v>
      </c>
      <c r="S37" s="247"/>
      <c r="T37" s="248">
        <v>33.799999999999997</v>
      </c>
      <c r="U37" s="247"/>
      <c r="V37" s="248">
        <v>36</v>
      </c>
      <c r="W37" s="248"/>
      <c r="X37" s="248">
        <v>34.700000000000003</v>
      </c>
      <c r="Y37" s="247"/>
      <c r="Z37" s="248">
        <v>32.9</v>
      </c>
      <c r="AA37" s="247"/>
      <c r="AB37" s="248">
        <v>33.700000000000003</v>
      </c>
      <c r="AC37" s="247"/>
      <c r="AD37" s="248">
        <v>32.700000000000003</v>
      </c>
      <c r="AE37" s="247"/>
      <c r="AF37" s="248">
        <v>31.7</v>
      </c>
      <c r="AG37" s="247"/>
      <c r="AH37" s="248">
        <v>32.5</v>
      </c>
      <c r="AI37" s="247"/>
      <c r="AJ37" s="248">
        <v>33.299999999999997</v>
      </c>
      <c r="AK37" s="247"/>
      <c r="AL37" s="248">
        <v>34.6</v>
      </c>
      <c r="AM37" s="247"/>
      <c r="AN37" s="248">
        <v>33.9</v>
      </c>
      <c r="AO37" s="247"/>
      <c r="AP37" s="248">
        <v>34.200000000000003</v>
      </c>
      <c r="AQ37" s="248"/>
      <c r="AR37" s="249">
        <v>33.5</v>
      </c>
      <c r="AS37" s="250"/>
      <c r="AT37" s="249">
        <v>35.299999999999997</v>
      </c>
      <c r="AU37" s="250"/>
      <c r="AV37" s="249">
        <v>35.799999999999997</v>
      </c>
      <c r="AW37" s="250"/>
      <c r="AX37" s="249">
        <v>36.200000000000003</v>
      </c>
      <c r="AY37" s="249"/>
      <c r="AZ37" s="249">
        <v>36.799999999999997</v>
      </c>
      <c r="BA37" s="249"/>
      <c r="BB37" s="249">
        <v>36.700000000000003</v>
      </c>
      <c r="BC37"/>
      <c r="BD37" s="249">
        <v>36.5</v>
      </c>
      <c r="BE37"/>
      <c r="BF37" s="249">
        <v>35.6</v>
      </c>
      <c r="BG37"/>
      <c r="BH37" s="249">
        <v>34.200000000000003</v>
      </c>
      <c r="BI37"/>
      <c r="BJ37" s="249">
        <v>34.6</v>
      </c>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row>
    <row r="38" spans="1:139" s="276" customFormat="1" ht="12.9" customHeight="1">
      <c r="A38" s="273"/>
      <c r="B38" s="272" t="s">
        <v>2</v>
      </c>
      <c r="C38" s="273"/>
      <c r="D38" s="274">
        <v>36.700000000000003</v>
      </c>
      <c r="E38" s="274"/>
      <c r="F38" s="274">
        <v>35.299999999999997</v>
      </c>
      <c r="G38" s="274"/>
      <c r="H38" s="274">
        <v>34.700000000000003</v>
      </c>
      <c r="I38" s="274"/>
      <c r="J38" s="274">
        <v>34.799999999999997</v>
      </c>
      <c r="K38" s="274"/>
      <c r="L38" s="274">
        <v>33.1</v>
      </c>
      <c r="M38" s="274"/>
      <c r="N38" s="274">
        <v>34.299999999999997</v>
      </c>
      <c r="O38" s="274"/>
      <c r="P38" s="274">
        <v>33.4</v>
      </c>
      <c r="Q38" s="274"/>
      <c r="R38" s="274">
        <v>35.19471153846154</v>
      </c>
      <c r="S38" s="273"/>
      <c r="T38" s="274">
        <v>35.6</v>
      </c>
      <c r="U38" s="273"/>
      <c r="V38" s="274">
        <v>38.1</v>
      </c>
      <c r="W38" s="274"/>
      <c r="X38" s="274">
        <v>36.5</v>
      </c>
      <c r="Y38" s="273"/>
      <c r="Z38" s="274">
        <v>34.6</v>
      </c>
      <c r="AA38" s="273"/>
      <c r="AB38" s="274">
        <v>35.6</v>
      </c>
      <c r="AC38" s="273"/>
      <c r="AD38" s="274">
        <v>34.4</v>
      </c>
      <c r="AE38" s="273"/>
      <c r="AF38" s="274">
        <v>33.5</v>
      </c>
      <c r="AG38" s="273"/>
      <c r="AH38" s="274">
        <v>34.799999999999997</v>
      </c>
      <c r="AI38" s="273"/>
      <c r="AJ38" s="274">
        <v>35.700000000000003</v>
      </c>
      <c r="AK38" s="273"/>
      <c r="AL38" s="274">
        <v>36.9</v>
      </c>
      <c r="AM38" s="273"/>
      <c r="AN38" s="274">
        <v>36</v>
      </c>
      <c r="AO38" s="273"/>
      <c r="AP38" s="274">
        <v>36.4</v>
      </c>
      <c r="AQ38" s="274"/>
      <c r="AR38" s="274">
        <v>35.700000000000003</v>
      </c>
      <c r="AS38" s="273"/>
      <c r="AT38" s="274">
        <v>37.4</v>
      </c>
      <c r="AU38" s="273"/>
      <c r="AV38" s="274">
        <v>37.799999999999997</v>
      </c>
      <c r="AW38" s="273"/>
      <c r="AX38" s="274">
        <v>38.1</v>
      </c>
      <c r="AY38" s="274"/>
      <c r="AZ38" s="274">
        <v>38.9</v>
      </c>
      <c r="BA38" s="274"/>
      <c r="BB38" s="274">
        <v>38.6</v>
      </c>
      <c r="BC38" s="275"/>
      <c r="BD38" s="274">
        <v>38.5</v>
      </c>
      <c r="BE38" s="275"/>
      <c r="BF38" s="274">
        <v>37.4</v>
      </c>
      <c r="BG38" s="275"/>
      <c r="BH38" s="274">
        <v>36.200000000000003</v>
      </c>
      <c r="BI38" s="275"/>
      <c r="BJ38" s="274">
        <v>36.700000000000003</v>
      </c>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75"/>
      <c r="CR38" s="275"/>
      <c r="CS38" s="275"/>
      <c r="CT38" s="275"/>
      <c r="CU38" s="275"/>
      <c r="CV38" s="275"/>
      <c r="CW38" s="275"/>
      <c r="CX38" s="275"/>
      <c r="CY38" s="275"/>
      <c r="CZ38" s="275"/>
      <c r="DA38" s="275"/>
      <c r="DB38" s="275"/>
      <c r="DC38" s="275"/>
      <c r="DD38" s="275"/>
      <c r="DE38" s="275"/>
      <c r="DF38" s="275"/>
      <c r="DG38" s="275"/>
      <c r="DH38" s="275"/>
      <c r="DI38" s="275"/>
      <c r="DJ38" s="275"/>
      <c r="DK38" s="275"/>
      <c r="DL38" s="275"/>
      <c r="DM38" s="275"/>
      <c r="DN38" s="275"/>
      <c r="DO38" s="275"/>
      <c r="DP38" s="275"/>
      <c r="DQ38" s="275"/>
      <c r="DR38" s="275"/>
      <c r="DS38" s="275"/>
      <c r="DT38" s="275"/>
      <c r="DU38" s="275"/>
      <c r="DV38" s="275"/>
      <c r="DW38" s="275"/>
      <c r="DX38" s="275"/>
      <c r="DY38" s="275"/>
      <c r="DZ38" s="275"/>
      <c r="EA38" s="275"/>
      <c r="EB38" s="275"/>
      <c r="EC38" s="275"/>
      <c r="ED38" s="275"/>
      <c r="EE38" s="275"/>
      <c r="EF38" s="275"/>
      <c r="EG38" s="275"/>
      <c r="EH38" s="275"/>
      <c r="EI38" s="275"/>
    </row>
    <row r="39" spans="1:139" s="191" customFormat="1" ht="12.6" customHeight="1">
      <c r="A39" s="255"/>
      <c r="B39" s="256"/>
      <c r="C39" s="257" t="s">
        <v>75</v>
      </c>
      <c r="D39" s="258"/>
      <c r="E39" s="259"/>
      <c r="F39" s="258"/>
      <c r="G39" s="259"/>
      <c r="H39" s="259"/>
      <c r="I39" s="259"/>
      <c r="J39" s="259"/>
      <c r="K39" s="259"/>
      <c r="L39" s="259"/>
      <c r="M39" s="259"/>
      <c r="N39" s="259"/>
      <c r="O39" s="259"/>
      <c r="P39" s="259"/>
      <c r="Q39" s="259"/>
      <c r="R39" s="259"/>
      <c r="S39" s="258"/>
      <c r="T39" s="259"/>
      <c r="U39" s="258"/>
      <c r="V39" s="259"/>
      <c r="W39" s="259"/>
      <c r="X39" s="259"/>
      <c r="Y39" s="258"/>
      <c r="Z39" s="259"/>
      <c r="AA39" s="258"/>
      <c r="AB39" s="259"/>
      <c r="AC39" s="258"/>
      <c r="AD39" s="259"/>
      <c r="AE39" s="258"/>
      <c r="AF39" s="259"/>
      <c r="AG39" s="258"/>
      <c r="AH39" s="259"/>
      <c r="AI39" s="258"/>
      <c r="AJ39" s="259"/>
      <c r="AK39" s="258"/>
      <c r="AL39" s="259"/>
      <c r="AM39" s="258"/>
      <c r="AN39" s="259"/>
      <c r="AO39" s="258"/>
      <c r="AP39" s="259"/>
      <c r="AQ39" s="259"/>
      <c r="AR39" s="259">
        <v>39.299999999999997</v>
      </c>
      <c r="AS39" s="258"/>
      <c r="AT39" s="259">
        <v>41</v>
      </c>
      <c r="AU39" s="259"/>
      <c r="AV39" s="259">
        <v>42</v>
      </c>
      <c r="AW39" s="258"/>
      <c r="AX39" s="259">
        <v>41.5</v>
      </c>
      <c r="AY39" s="259"/>
      <c r="AZ39" s="259">
        <v>42.8</v>
      </c>
      <c r="BA39" s="259"/>
      <c r="BB39" s="259">
        <v>42.4</v>
      </c>
      <c r="BC39" s="278"/>
      <c r="BD39" s="259">
        <v>42.7</v>
      </c>
      <c r="BE39" s="278"/>
      <c r="BF39" s="259">
        <v>41.5</v>
      </c>
      <c r="BG39" s="278"/>
      <c r="BH39" s="259">
        <v>40.299999999999997</v>
      </c>
      <c r="BI39" s="278"/>
      <c r="BJ39" s="259">
        <v>41.1</v>
      </c>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row>
    <row r="40" spans="1:139" s="191" customFormat="1" ht="12.6" customHeight="1">
      <c r="A40" s="255"/>
      <c r="B40" s="256"/>
      <c r="C40" s="257" t="s">
        <v>76</v>
      </c>
      <c r="D40" s="258"/>
      <c r="E40" s="259"/>
      <c r="F40" s="258"/>
      <c r="G40" s="259"/>
      <c r="H40" s="259"/>
      <c r="I40" s="259"/>
      <c r="J40" s="259"/>
      <c r="K40" s="259"/>
      <c r="L40" s="259"/>
      <c r="M40" s="259"/>
      <c r="N40" s="259"/>
      <c r="O40" s="259"/>
      <c r="P40" s="259"/>
      <c r="Q40" s="259"/>
      <c r="R40" s="259"/>
      <c r="S40" s="258"/>
      <c r="T40" s="259"/>
      <c r="U40" s="258"/>
      <c r="V40" s="259"/>
      <c r="W40" s="259"/>
      <c r="X40" s="259"/>
      <c r="Y40" s="258"/>
      <c r="Z40" s="259"/>
      <c r="AA40" s="258"/>
      <c r="AB40" s="259"/>
      <c r="AC40" s="258"/>
      <c r="AD40" s="259"/>
      <c r="AE40" s="258"/>
      <c r="AF40" s="259"/>
      <c r="AG40" s="258"/>
      <c r="AH40" s="259"/>
      <c r="AI40" s="258"/>
      <c r="AJ40" s="259"/>
      <c r="AK40" s="258"/>
      <c r="AL40" s="259"/>
      <c r="AM40" s="258"/>
      <c r="AN40" s="259"/>
      <c r="AO40" s="258"/>
      <c r="AP40" s="259"/>
      <c r="AQ40" s="259"/>
      <c r="AR40" s="259">
        <v>26.9</v>
      </c>
      <c r="AS40" s="258"/>
      <c r="AT40" s="259">
        <v>27.9</v>
      </c>
      <c r="AU40" s="259"/>
      <c r="AV40" s="259">
        <v>27.4</v>
      </c>
      <c r="AW40" s="258"/>
      <c r="AX40" s="259">
        <v>29.4</v>
      </c>
      <c r="AY40" s="259"/>
      <c r="AZ40" s="259">
        <v>29.3</v>
      </c>
      <c r="BA40" s="259"/>
      <c r="BB40" s="259">
        <v>29.5</v>
      </c>
      <c r="BC40" s="278"/>
      <c r="BD40" s="259">
        <v>28.7</v>
      </c>
      <c r="BE40" s="278"/>
      <c r="BF40" s="259">
        <v>28.3</v>
      </c>
      <c r="BG40" s="278"/>
      <c r="BH40" s="259">
        <v>27.7</v>
      </c>
      <c r="BI40" s="278"/>
      <c r="BJ40" s="259">
        <v>27.6</v>
      </c>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row>
    <row r="41" spans="1:139" s="276" customFormat="1" ht="12.6" customHeight="1">
      <c r="A41" s="271"/>
      <c r="B41" s="272" t="s">
        <v>3</v>
      </c>
      <c r="C41" s="273"/>
      <c r="D41" s="274">
        <v>15.5</v>
      </c>
      <c r="E41" s="274"/>
      <c r="F41" s="274">
        <v>14.9</v>
      </c>
      <c r="G41" s="274"/>
      <c r="H41" s="274">
        <v>13.8</v>
      </c>
      <c r="I41" s="274"/>
      <c r="J41" s="274">
        <v>13.1</v>
      </c>
      <c r="K41" s="274"/>
      <c r="L41" s="274">
        <v>12.4</v>
      </c>
      <c r="M41" s="274"/>
      <c r="N41" s="274">
        <v>12.8</v>
      </c>
      <c r="O41" s="274"/>
      <c r="P41" s="274">
        <v>12.2</v>
      </c>
      <c r="Q41" s="274"/>
      <c r="R41" s="274">
        <v>13.248730964467006</v>
      </c>
      <c r="S41" s="273"/>
      <c r="T41" s="274">
        <v>13.7</v>
      </c>
      <c r="U41" s="273"/>
      <c r="V41" s="274">
        <v>13.7</v>
      </c>
      <c r="W41" s="274"/>
      <c r="X41" s="274">
        <v>14.1</v>
      </c>
      <c r="Y41" s="273"/>
      <c r="Z41" s="274">
        <v>14.4</v>
      </c>
      <c r="AA41" s="273"/>
      <c r="AB41" s="274">
        <v>14</v>
      </c>
      <c r="AC41" s="273"/>
      <c r="AD41" s="274">
        <v>13.9</v>
      </c>
      <c r="AE41" s="273"/>
      <c r="AF41" s="274">
        <v>13.5</v>
      </c>
      <c r="AG41" s="273"/>
      <c r="AH41" s="274">
        <v>12.5</v>
      </c>
      <c r="AI41" s="273"/>
      <c r="AJ41" s="274">
        <v>12.1</v>
      </c>
      <c r="AK41" s="273"/>
      <c r="AL41" s="274">
        <v>12.8</v>
      </c>
      <c r="AM41" s="273"/>
      <c r="AN41" s="274">
        <v>13</v>
      </c>
      <c r="AO41" s="273"/>
      <c r="AP41" s="274">
        <v>12.7</v>
      </c>
      <c r="AQ41" s="274"/>
      <c r="AR41" s="274">
        <v>11.8</v>
      </c>
      <c r="AS41" s="273"/>
      <c r="AT41" s="274">
        <v>12.4</v>
      </c>
      <c r="AU41" s="273"/>
      <c r="AV41" s="274">
        <v>13.8</v>
      </c>
      <c r="AW41" s="273"/>
      <c r="AX41" s="274">
        <v>14.5</v>
      </c>
      <c r="AY41" s="274"/>
      <c r="AZ41" s="274">
        <v>13.8</v>
      </c>
      <c r="BA41" s="274"/>
      <c r="BB41" s="274">
        <v>14.8</v>
      </c>
      <c r="BC41" s="277"/>
      <c r="BD41" s="274">
        <v>14.1</v>
      </c>
      <c r="BE41" s="277"/>
      <c r="BF41" s="274">
        <v>14.3</v>
      </c>
      <c r="BG41" s="277"/>
      <c r="BH41" s="274">
        <v>12.4</v>
      </c>
      <c r="BI41" s="277"/>
      <c r="BJ41" s="274">
        <v>14</v>
      </c>
      <c r="BK41" s="277"/>
      <c r="BL41" s="275"/>
      <c r="BM41" s="275"/>
      <c r="BN41" s="275"/>
      <c r="BO41" s="275"/>
      <c r="BP41" s="275"/>
      <c r="BQ41" s="275"/>
      <c r="BR41" s="275"/>
      <c r="BS41" s="275"/>
      <c r="BT41" s="275"/>
      <c r="BU41" s="275"/>
      <c r="BV41" s="275"/>
      <c r="BW41" s="275"/>
      <c r="BX41" s="275"/>
      <c r="BY41" s="275"/>
      <c r="BZ41" s="275"/>
      <c r="CA41" s="275"/>
      <c r="CB41" s="275"/>
      <c r="CC41" s="275"/>
      <c r="CD41" s="275"/>
      <c r="CE41" s="275"/>
      <c r="CF41" s="275"/>
      <c r="CG41" s="275"/>
      <c r="CH41" s="275"/>
      <c r="CI41" s="275"/>
      <c r="CJ41" s="275"/>
      <c r="CK41" s="275"/>
      <c r="CL41" s="275"/>
      <c r="CM41" s="275"/>
      <c r="CN41" s="275"/>
      <c r="CO41" s="275"/>
      <c r="CP41" s="275"/>
      <c r="CQ41" s="275"/>
      <c r="CR41" s="275"/>
      <c r="CS41" s="275"/>
      <c r="CT41" s="275"/>
      <c r="CU41" s="275"/>
      <c r="CV41" s="275"/>
      <c r="CW41" s="275"/>
      <c r="CX41" s="275"/>
      <c r="CY41" s="275"/>
      <c r="CZ41" s="275"/>
      <c r="DA41" s="275"/>
      <c r="DB41" s="275"/>
      <c r="DC41" s="275"/>
      <c r="DD41" s="275"/>
      <c r="DE41" s="275"/>
      <c r="DF41" s="275"/>
      <c r="DG41" s="275"/>
      <c r="DH41" s="275"/>
      <c r="DI41" s="275"/>
      <c r="DJ41" s="275"/>
      <c r="DK41" s="275"/>
      <c r="DL41" s="275"/>
      <c r="DM41" s="275"/>
      <c r="DN41" s="275"/>
      <c r="DO41" s="275"/>
      <c r="DP41" s="275"/>
      <c r="DQ41" s="275"/>
      <c r="DR41" s="275"/>
      <c r="DS41" s="275"/>
      <c r="DT41" s="275"/>
      <c r="DU41" s="275"/>
      <c r="DV41" s="275"/>
      <c r="DW41" s="275"/>
      <c r="DX41" s="275"/>
      <c r="DY41" s="275"/>
      <c r="DZ41" s="275"/>
      <c r="EA41" s="275"/>
      <c r="EB41" s="275"/>
      <c r="EC41" s="275"/>
      <c r="ED41" s="275"/>
      <c r="EE41" s="275"/>
      <c r="EF41" s="275"/>
      <c r="EG41" s="275"/>
      <c r="EH41" s="275"/>
      <c r="EI41" s="275"/>
    </row>
    <row r="42" spans="1:139" s="246" customFormat="1" ht="14.1" customHeight="1">
      <c r="A42" s="326" t="s">
        <v>107</v>
      </c>
      <c r="B42" s="326"/>
      <c r="C42" s="326"/>
      <c r="D42" s="16">
        <v>30.8</v>
      </c>
      <c r="E42" s="16"/>
      <c r="F42" s="16">
        <v>30.8</v>
      </c>
      <c r="G42" s="16"/>
      <c r="H42" s="16">
        <v>30</v>
      </c>
      <c r="I42" s="16"/>
      <c r="J42" s="16">
        <v>30.075618230124668</v>
      </c>
      <c r="K42" s="16"/>
      <c r="L42" s="16">
        <v>29.4</v>
      </c>
      <c r="M42" s="16"/>
      <c r="N42" s="16">
        <v>29.6</v>
      </c>
      <c r="O42" s="16"/>
      <c r="P42" s="16">
        <v>29.5</v>
      </c>
      <c r="Q42" s="16"/>
      <c r="R42" s="16">
        <v>30.075618230124668</v>
      </c>
      <c r="S42" s="14"/>
      <c r="T42" s="16">
        <v>31.1</v>
      </c>
      <c r="U42" s="14"/>
      <c r="V42" s="16">
        <v>33.200000000000003</v>
      </c>
      <c r="W42" s="16"/>
      <c r="X42" s="17">
        <v>32.5</v>
      </c>
      <c r="Y42" s="251"/>
      <c r="Z42" s="17">
        <v>31.1</v>
      </c>
      <c r="AA42" s="251"/>
      <c r="AB42" s="17">
        <v>31.9</v>
      </c>
      <c r="AC42" s="251"/>
      <c r="AD42" s="17">
        <v>31</v>
      </c>
      <c r="AE42" s="251"/>
      <c r="AF42" s="17">
        <v>30.6</v>
      </c>
      <c r="AG42" s="251"/>
      <c r="AH42" s="17">
        <v>30.7</v>
      </c>
      <c r="AI42" s="251"/>
      <c r="AJ42" s="17">
        <v>31.4</v>
      </c>
      <c r="AK42" s="251"/>
      <c r="AL42" s="17">
        <v>32.6</v>
      </c>
      <c r="AM42" s="251"/>
      <c r="AN42" s="248">
        <v>32.799999999999997</v>
      </c>
      <c r="AO42" s="251"/>
      <c r="AP42" s="248">
        <v>33.6</v>
      </c>
      <c r="AQ42" s="17"/>
      <c r="AR42" s="249">
        <v>33.4</v>
      </c>
      <c r="AS42" s="250"/>
      <c r="AT42" s="249">
        <v>35.1</v>
      </c>
      <c r="AU42" s="250"/>
      <c r="AV42" s="249">
        <v>36.4</v>
      </c>
      <c r="AW42" s="250"/>
      <c r="AX42" s="249">
        <v>36</v>
      </c>
      <c r="AY42" s="249"/>
      <c r="AZ42" s="249">
        <v>36.299999999999997</v>
      </c>
      <c r="BA42" s="249"/>
      <c r="BB42" s="249">
        <v>36.1</v>
      </c>
      <c r="BC42"/>
      <c r="BD42" s="249">
        <v>35.5</v>
      </c>
      <c r="BE42"/>
      <c r="BF42" s="249">
        <v>34.299999999999997</v>
      </c>
      <c r="BG42"/>
      <c r="BH42" s="249">
        <v>32.700000000000003</v>
      </c>
      <c r="BI42"/>
      <c r="BJ42" s="249">
        <v>33.200000000000003</v>
      </c>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row>
    <row r="43" spans="1:139" s="276" customFormat="1" ht="12" customHeight="1">
      <c r="A43" s="280"/>
      <c r="B43" s="272" t="s">
        <v>2</v>
      </c>
      <c r="C43" s="280"/>
      <c r="D43" s="281">
        <v>33.4</v>
      </c>
      <c r="E43" s="281"/>
      <c r="F43" s="281">
        <v>33.299999999999997</v>
      </c>
      <c r="G43" s="281"/>
      <c r="H43" s="281">
        <v>32.6</v>
      </c>
      <c r="I43" s="281"/>
      <c r="J43" s="281">
        <v>32.700000000000003</v>
      </c>
      <c r="K43" s="281"/>
      <c r="L43" s="281">
        <v>31.8</v>
      </c>
      <c r="M43" s="281"/>
      <c r="N43" s="281">
        <v>32.200000000000003</v>
      </c>
      <c r="O43" s="281"/>
      <c r="P43" s="281">
        <v>32</v>
      </c>
      <c r="Q43" s="281"/>
      <c r="R43" s="281">
        <v>32.52048417132216</v>
      </c>
      <c r="S43" s="280"/>
      <c r="T43" s="281">
        <v>33.5</v>
      </c>
      <c r="U43" s="280"/>
      <c r="V43" s="281">
        <v>35.799999999999997</v>
      </c>
      <c r="W43" s="281"/>
      <c r="X43" s="274">
        <v>34.9</v>
      </c>
      <c r="Y43" s="273"/>
      <c r="Z43" s="274">
        <v>33.5</v>
      </c>
      <c r="AA43" s="273"/>
      <c r="AB43" s="274">
        <v>34.4</v>
      </c>
      <c r="AC43" s="273"/>
      <c r="AD43" s="274">
        <v>33.6</v>
      </c>
      <c r="AE43" s="273"/>
      <c r="AF43" s="274">
        <v>33.1</v>
      </c>
      <c r="AG43" s="273"/>
      <c r="AH43" s="274">
        <v>34.1</v>
      </c>
      <c r="AI43" s="273"/>
      <c r="AJ43" s="274">
        <v>35.1</v>
      </c>
      <c r="AK43" s="273"/>
      <c r="AL43" s="274">
        <v>36.299999999999997</v>
      </c>
      <c r="AM43" s="273"/>
      <c r="AN43" s="274">
        <v>36.4</v>
      </c>
      <c r="AO43" s="273"/>
      <c r="AP43" s="274">
        <v>37.4</v>
      </c>
      <c r="AQ43" s="274"/>
      <c r="AR43" s="274">
        <v>37.200000000000003</v>
      </c>
      <c r="AS43" s="273"/>
      <c r="AT43" s="274">
        <v>38.9</v>
      </c>
      <c r="AU43" s="273"/>
      <c r="AV43" s="274">
        <v>40.1</v>
      </c>
      <c r="AW43" s="273"/>
      <c r="AX43" s="274">
        <v>39.799999999999997</v>
      </c>
      <c r="AY43" s="274"/>
      <c r="AZ43" s="274">
        <v>40</v>
      </c>
      <c r="BA43" s="274"/>
      <c r="BB43" s="274">
        <v>39.799999999999997</v>
      </c>
      <c r="BC43" s="275"/>
      <c r="BD43" s="274">
        <v>39.200000000000003</v>
      </c>
      <c r="BE43" s="275"/>
      <c r="BF43" s="274">
        <v>37.9</v>
      </c>
      <c r="BG43" s="275"/>
      <c r="BH43" s="274">
        <v>36.5</v>
      </c>
      <c r="BI43" s="275"/>
      <c r="BJ43" s="274">
        <v>36.799999999999997</v>
      </c>
      <c r="BK43" s="275"/>
      <c r="BL43" s="275"/>
      <c r="BM43" s="275"/>
      <c r="BN43" s="275"/>
      <c r="BO43" s="275"/>
      <c r="BP43" s="275"/>
      <c r="BQ43" s="275"/>
      <c r="BR43" s="275"/>
      <c r="BS43" s="275"/>
      <c r="BT43" s="275"/>
      <c r="BU43" s="275"/>
      <c r="BV43" s="275"/>
      <c r="BW43" s="275"/>
      <c r="BX43" s="275"/>
      <c r="BY43" s="275"/>
      <c r="BZ43" s="275"/>
      <c r="CA43" s="275"/>
      <c r="CB43" s="275"/>
      <c r="CC43" s="275"/>
      <c r="CD43" s="275"/>
      <c r="CE43" s="275"/>
      <c r="CF43" s="275"/>
      <c r="CG43" s="275"/>
      <c r="CH43" s="275"/>
      <c r="CI43" s="275"/>
      <c r="CJ43" s="275"/>
      <c r="CK43" s="275"/>
      <c r="CL43" s="275"/>
      <c r="CM43" s="275"/>
      <c r="CN43" s="275"/>
      <c r="CO43" s="275"/>
      <c r="CP43" s="275"/>
      <c r="CQ43" s="275"/>
      <c r="CR43" s="275"/>
      <c r="CS43" s="275"/>
      <c r="CT43" s="275"/>
      <c r="CU43" s="275"/>
      <c r="CV43" s="275"/>
      <c r="CW43" s="275"/>
      <c r="CX43" s="275"/>
      <c r="CY43" s="275"/>
      <c r="CZ43" s="275"/>
      <c r="DA43" s="275"/>
      <c r="DB43" s="275"/>
      <c r="DC43" s="275"/>
      <c r="DD43" s="275"/>
      <c r="DE43" s="275"/>
      <c r="DF43" s="275"/>
      <c r="DG43" s="275"/>
      <c r="DH43" s="275"/>
      <c r="DI43" s="275"/>
      <c r="DJ43" s="275"/>
      <c r="DK43" s="275"/>
      <c r="DL43" s="275"/>
      <c r="DM43" s="275"/>
      <c r="DN43" s="275"/>
      <c r="DO43" s="275"/>
      <c r="DP43" s="275"/>
      <c r="DQ43" s="275"/>
      <c r="DR43" s="275"/>
      <c r="DS43" s="275"/>
      <c r="DT43" s="275"/>
      <c r="DU43" s="275"/>
      <c r="DV43" s="275"/>
      <c r="DW43" s="275"/>
      <c r="DX43" s="275"/>
      <c r="DY43" s="275"/>
      <c r="DZ43" s="275"/>
      <c r="EA43" s="275"/>
      <c r="EB43" s="275"/>
      <c r="EC43" s="275"/>
      <c r="ED43" s="275"/>
      <c r="EE43" s="275"/>
      <c r="EF43" s="275"/>
      <c r="EG43" s="275"/>
      <c r="EH43" s="275"/>
      <c r="EI43" s="275"/>
    </row>
    <row r="44" spans="1:139" s="191" customFormat="1" ht="12.6" customHeight="1">
      <c r="A44" s="255"/>
      <c r="B44" s="256"/>
      <c r="C44" s="257" t="s">
        <v>75</v>
      </c>
      <c r="D44" s="258"/>
      <c r="E44" s="259"/>
      <c r="F44" s="258"/>
      <c r="G44" s="259"/>
      <c r="H44" s="259"/>
      <c r="I44" s="259"/>
      <c r="J44" s="259"/>
      <c r="K44" s="259"/>
      <c r="L44" s="259"/>
      <c r="M44" s="259"/>
      <c r="N44" s="259"/>
      <c r="O44" s="259"/>
      <c r="P44" s="259"/>
      <c r="Q44" s="259"/>
      <c r="R44" s="259"/>
      <c r="S44" s="258"/>
      <c r="T44" s="259"/>
      <c r="U44" s="258"/>
      <c r="V44" s="259"/>
      <c r="W44" s="259"/>
      <c r="X44" s="259"/>
      <c r="Y44" s="258"/>
      <c r="Z44" s="259"/>
      <c r="AA44" s="258"/>
      <c r="AB44" s="259"/>
      <c r="AC44" s="258"/>
      <c r="AD44" s="259"/>
      <c r="AE44" s="258"/>
      <c r="AF44" s="259"/>
      <c r="AG44" s="258"/>
      <c r="AH44" s="259"/>
      <c r="AI44" s="258"/>
      <c r="AJ44" s="259"/>
      <c r="AK44" s="258"/>
      <c r="AL44" s="259"/>
      <c r="AM44" s="258"/>
      <c r="AN44" s="259"/>
      <c r="AO44" s="258"/>
      <c r="AP44" s="259"/>
      <c r="AQ44" s="259"/>
      <c r="AR44" s="259">
        <v>42.8</v>
      </c>
      <c r="AS44" s="258"/>
      <c r="AT44" s="259">
        <v>44.5</v>
      </c>
      <c r="AU44" s="259"/>
      <c r="AV44" s="259">
        <v>45.9</v>
      </c>
      <c r="AW44" s="258"/>
      <c r="AX44" s="259">
        <v>44.4</v>
      </c>
      <c r="AY44" s="259"/>
      <c r="AZ44" s="259">
        <v>44.8</v>
      </c>
      <c r="BA44" s="259"/>
      <c r="BB44" s="259">
        <v>44.6</v>
      </c>
      <c r="BC44" s="278"/>
      <c r="BD44" s="259">
        <v>43.9</v>
      </c>
      <c r="BE44" s="278"/>
      <c r="BF44" s="259">
        <v>42.9</v>
      </c>
      <c r="BG44" s="278"/>
      <c r="BH44" s="259">
        <v>41</v>
      </c>
      <c r="BI44" s="278"/>
      <c r="BJ44" s="259">
        <v>42.3</v>
      </c>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row>
    <row r="45" spans="1:139" s="191" customFormat="1" ht="12.6" customHeight="1">
      <c r="A45" s="255"/>
      <c r="B45" s="256"/>
      <c r="C45" s="257" t="s">
        <v>76</v>
      </c>
      <c r="D45" s="258"/>
      <c r="E45" s="259"/>
      <c r="F45" s="258"/>
      <c r="G45" s="259"/>
      <c r="H45" s="259"/>
      <c r="I45" s="259"/>
      <c r="J45" s="259"/>
      <c r="K45" s="259"/>
      <c r="L45" s="259"/>
      <c r="M45" s="259"/>
      <c r="N45" s="259"/>
      <c r="O45" s="259"/>
      <c r="P45" s="259"/>
      <c r="Q45" s="259"/>
      <c r="R45" s="259"/>
      <c r="S45" s="258"/>
      <c r="T45" s="259"/>
      <c r="U45" s="258"/>
      <c r="V45" s="259"/>
      <c r="W45" s="259"/>
      <c r="X45" s="259"/>
      <c r="Y45" s="258"/>
      <c r="Z45" s="259"/>
      <c r="AA45" s="258"/>
      <c r="AB45" s="259"/>
      <c r="AC45" s="258"/>
      <c r="AD45" s="259"/>
      <c r="AE45" s="258"/>
      <c r="AF45" s="259"/>
      <c r="AG45" s="258"/>
      <c r="AH45" s="259"/>
      <c r="AI45" s="258"/>
      <c r="AJ45" s="259"/>
      <c r="AK45" s="258"/>
      <c r="AL45" s="259"/>
      <c r="AM45" s="258"/>
      <c r="AN45" s="259"/>
      <c r="AO45" s="258"/>
      <c r="AP45" s="259"/>
      <c r="AQ45" s="259"/>
      <c r="AR45" s="259">
        <v>29.3</v>
      </c>
      <c r="AS45" s="258"/>
      <c r="AT45" s="259">
        <v>30.7</v>
      </c>
      <c r="AU45" s="259"/>
      <c r="AV45" s="259">
        <v>31.8</v>
      </c>
      <c r="AW45" s="258"/>
      <c r="AX45" s="259">
        <v>33.1</v>
      </c>
      <c r="AY45" s="259"/>
      <c r="AZ45" s="259">
        <v>33.299999999999997</v>
      </c>
      <c r="BA45" s="259"/>
      <c r="BB45" s="259">
        <v>33.299999999999997</v>
      </c>
      <c r="BC45" s="278"/>
      <c r="BD45" s="259">
        <v>33</v>
      </c>
      <c r="BE45" s="278"/>
      <c r="BF45" s="259">
        <v>31.5</v>
      </c>
      <c r="BG45" s="278"/>
      <c r="BH45" s="259">
        <v>31</v>
      </c>
      <c r="BI45" s="278"/>
      <c r="BJ45" s="259">
        <v>30.4</v>
      </c>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row>
    <row r="46" spans="1:139" s="276" customFormat="1" ht="12.6" customHeight="1">
      <c r="A46" s="280"/>
      <c r="B46" s="282" t="s">
        <v>3</v>
      </c>
      <c r="C46" s="280"/>
      <c r="D46" s="281">
        <v>13.8</v>
      </c>
      <c r="E46" s="281"/>
      <c r="F46" s="281">
        <v>14.3</v>
      </c>
      <c r="G46" s="281"/>
      <c r="H46" s="281">
        <v>13</v>
      </c>
      <c r="I46" s="281"/>
      <c r="J46" s="281">
        <v>13.3</v>
      </c>
      <c r="K46" s="281"/>
      <c r="L46" s="281">
        <v>13.2</v>
      </c>
      <c r="M46" s="281"/>
      <c r="N46" s="281">
        <v>12.6</v>
      </c>
      <c r="O46" s="281"/>
      <c r="P46" s="281">
        <v>11.9</v>
      </c>
      <c r="Q46" s="281"/>
      <c r="R46" s="281">
        <v>12.482412060301508</v>
      </c>
      <c r="S46" s="280"/>
      <c r="T46" s="281">
        <v>13.2</v>
      </c>
      <c r="U46" s="280"/>
      <c r="V46" s="281">
        <v>13.2</v>
      </c>
      <c r="W46" s="281"/>
      <c r="X46" s="274">
        <v>13.5</v>
      </c>
      <c r="Y46" s="273"/>
      <c r="Z46" s="274">
        <v>13.5</v>
      </c>
      <c r="AA46" s="273"/>
      <c r="AB46" s="274">
        <v>13.1</v>
      </c>
      <c r="AC46" s="273"/>
      <c r="AD46" s="274">
        <v>12.5</v>
      </c>
      <c r="AE46" s="273"/>
      <c r="AF46" s="274">
        <v>12.3</v>
      </c>
      <c r="AG46" s="273"/>
      <c r="AH46" s="274">
        <v>11.5</v>
      </c>
      <c r="AI46" s="273"/>
      <c r="AJ46" s="274">
        <v>11.1</v>
      </c>
      <c r="AK46" s="273"/>
      <c r="AL46" s="274">
        <v>12</v>
      </c>
      <c r="AM46" s="273"/>
      <c r="AN46" s="274">
        <v>12</v>
      </c>
      <c r="AO46" s="273"/>
      <c r="AP46" s="274">
        <v>11.7</v>
      </c>
      <c r="AQ46" s="274"/>
      <c r="AR46" s="274">
        <v>11.4</v>
      </c>
      <c r="AS46" s="273"/>
      <c r="AT46" s="274">
        <v>12</v>
      </c>
      <c r="AU46" s="273"/>
      <c r="AV46" s="274">
        <v>13.6</v>
      </c>
      <c r="AW46" s="273"/>
      <c r="AX46" s="274">
        <v>12.9</v>
      </c>
      <c r="AY46" s="274"/>
      <c r="AZ46" s="274">
        <v>12.5</v>
      </c>
      <c r="BA46" s="274"/>
      <c r="BB46" s="274">
        <v>12.9</v>
      </c>
      <c r="BC46" s="275"/>
      <c r="BD46" s="274">
        <v>12.2</v>
      </c>
      <c r="BE46" s="275"/>
      <c r="BF46" s="274">
        <v>11.6</v>
      </c>
      <c r="BG46" s="275"/>
      <c r="BH46" s="274">
        <v>10.5</v>
      </c>
      <c r="BI46" s="275"/>
      <c r="BJ46" s="274">
        <v>11.4</v>
      </c>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5"/>
      <c r="CK46" s="275"/>
      <c r="CL46" s="275"/>
      <c r="CM46" s="275"/>
      <c r="CN46" s="275"/>
      <c r="CO46" s="275"/>
      <c r="CP46" s="275"/>
      <c r="CQ46" s="275"/>
      <c r="CR46" s="275"/>
      <c r="CS46" s="275"/>
      <c r="CT46" s="275"/>
      <c r="CU46" s="275"/>
      <c r="CV46" s="275"/>
      <c r="CW46" s="275"/>
      <c r="CX46" s="275"/>
      <c r="CY46" s="275"/>
      <c r="CZ46" s="275"/>
      <c r="DA46" s="275"/>
      <c r="DB46" s="275"/>
      <c r="DC46" s="275"/>
      <c r="DD46" s="275"/>
      <c r="DE46" s="275"/>
      <c r="DF46" s="275"/>
      <c r="DG46" s="275"/>
      <c r="DH46" s="275"/>
      <c r="DI46" s="275"/>
      <c r="DJ46" s="275"/>
      <c r="DK46" s="275"/>
      <c r="DL46" s="275"/>
      <c r="DM46" s="275"/>
      <c r="DN46" s="275"/>
      <c r="DO46" s="275"/>
      <c r="DP46" s="275"/>
      <c r="DQ46" s="275"/>
      <c r="DR46" s="275"/>
      <c r="DS46" s="275"/>
      <c r="DT46" s="275"/>
      <c r="DU46" s="275"/>
      <c r="DV46" s="275"/>
      <c r="DW46" s="275"/>
      <c r="DX46" s="275"/>
      <c r="DY46" s="275"/>
      <c r="DZ46" s="275"/>
      <c r="EA46" s="275"/>
      <c r="EB46" s="275"/>
      <c r="EC46" s="275"/>
      <c r="ED46" s="275"/>
      <c r="EE46" s="275"/>
      <c r="EF46" s="275"/>
      <c r="EG46" s="275"/>
      <c r="EH46" s="275"/>
      <c r="EI46" s="275"/>
    </row>
    <row r="47" spans="1:139" ht="3" customHeight="1">
      <c r="A47" s="108"/>
      <c r="B47" s="109"/>
      <c r="C47" s="108"/>
      <c r="D47" s="110"/>
      <c r="E47" s="110"/>
      <c r="F47" s="110"/>
      <c r="G47" s="110"/>
      <c r="H47" s="110"/>
      <c r="I47" s="110"/>
      <c r="J47" s="110"/>
      <c r="K47" s="110"/>
      <c r="L47" s="110"/>
      <c r="M47" s="110"/>
      <c r="N47" s="110"/>
      <c r="O47" s="110"/>
      <c r="P47" s="110"/>
      <c r="Q47" s="110"/>
      <c r="R47" s="110"/>
      <c r="S47" s="108"/>
      <c r="T47" s="110"/>
      <c r="U47" s="108"/>
      <c r="V47" s="110"/>
      <c r="W47" s="110"/>
      <c r="X47" s="99"/>
      <c r="Y47" s="98"/>
      <c r="Z47" s="99"/>
      <c r="AA47" s="98"/>
      <c r="AB47" s="99"/>
      <c r="AC47" s="98"/>
      <c r="AD47" s="99"/>
      <c r="AE47" s="98"/>
      <c r="AF47" s="99"/>
      <c r="AG47" s="98"/>
      <c r="AH47" s="99"/>
      <c r="AI47" s="98"/>
      <c r="AJ47" s="99"/>
      <c r="AK47" s="98"/>
      <c r="AL47" s="99"/>
      <c r="AM47" s="98"/>
      <c r="AN47" s="99"/>
      <c r="AO47" s="98"/>
      <c r="AP47" s="99"/>
      <c r="AQ47" s="99"/>
      <c r="AR47" s="99"/>
      <c r="AS47" s="98"/>
      <c r="AT47" s="99"/>
      <c r="AU47" s="98"/>
      <c r="AV47" s="99"/>
      <c r="AW47" s="98"/>
      <c r="AX47" s="99"/>
      <c r="AY47" s="99"/>
      <c r="AZ47" s="99"/>
      <c r="BA47" s="99"/>
      <c r="BB47" s="99"/>
      <c r="BD47" s="99"/>
      <c r="BF47" s="99"/>
      <c r="BH47" s="99"/>
      <c r="BJ47" s="99"/>
    </row>
    <row r="48" spans="1:139" s="293" customFormat="1" ht="14.25" customHeight="1">
      <c r="A48" s="321" t="s">
        <v>108</v>
      </c>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row>
    <row r="49" spans="1:63" s="291" customFormat="1" ht="14.25" customHeight="1">
      <c r="A49" s="322" t="s">
        <v>102</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row>
    <row r="50" spans="1:63" s="292" customFormat="1" ht="12" hidden="1" customHeight="1">
      <c r="A50" s="323" t="s">
        <v>109</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290"/>
    </row>
    <row r="51" spans="1:63" s="292" customFormat="1" ht="14.25" customHeight="1">
      <c r="A51" s="323" t="s">
        <v>110</v>
      </c>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290"/>
    </row>
    <row r="52" spans="1:63" s="172" customFormat="1" ht="2.1" customHeight="1">
      <c r="A52" s="284"/>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c r="BH52" s="284"/>
      <c r="BI52"/>
      <c r="BJ52" s="284"/>
      <c r="BK52"/>
    </row>
    <row r="53" spans="1:63" ht="13.2">
      <c r="A53" s="320" t="s">
        <v>106</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c r="BF53" s="320"/>
      <c r="BG53" s="320"/>
      <c r="BH53" s="320"/>
      <c r="BI53" s="320"/>
      <c r="BJ53" s="320"/>
    </row>
    <row r="54" spans="1:63" s="94" customFormat="1" ht="13.2">
      <c r="A54" s="320" t="s">
        <v>123</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V54" s="107"/>
      <c r="AX54" s="107"/>
      <c r="AY54" s="107"/>
      <c r="AZ54" s="107"/>
      <c r="BA54" s="107"/>
      <c r="BB54" s="107"/>
      <c r="BC54"/>
      <c r="BD54" s="107"/>
      <c r="BE54"/>
      <c r="BF54" s="107"/>
      <c r="BG54"/>
      <c r="BH54" s="107"/>
      <c r="BI54"/>
      <c r="BJ54" s="107"/>
      <c r="BK54"/>
    </row>
    <row r="55" spans="1:63" s="94" customFormat="1" ht="13.2">
      <c r="A55" s="285"/>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V55" s="107"/>
      <c r="AX55" s="107"/>
      <c r="AY55" s="107"/>
      <c r="AZ55" s="107"/>
      <c r="BA55" s="107"/>
      <c r="BB55" s="107"/>
      <c r="BC55"/>
      <c r="BD55" s="107"/>
      <c r="BE55"/>
      <c r="BF55" s="107"/>
      <c r="BG55"/>
      <c r="BH55" s="107"/>
      <c r="BI55"/>
      <c r="BJ55" s="107"/>
      <c r="BK55"/>
    </row>
    <row r="56" spans="1:63" ht="15" customHeight="1">
      <c r="A56" s="4" t="s">
        <v>0</v>
      </c>
      <c r="B56" s="4"/>
      <c r="C56" s="12"/>
      <c r="D56" s="7"/>
      <c r="E56" s="7"/>
      <c r="F56" s="7"/>
      <c r="G56" s="7"/>
      <c r="H56" s="7"/>
      <c r="I56" s="7"/>
      <c r="J56" s="7"/>
      <c r="K56" s="7"/>
      <c r="L56" s="7"/>
      <c r="M56" s="7"/>
      <c r="N56" s="7"/>
      <c r="O56" s="7"/>
      <c r="P56" s="7"/>
      <c r="Q56" s="7"/>
      <c r="R56" s="7"/>
      <c r="S56" s="2"/>
      <c r="T56" s="7"/>
      <c r="U56" s="2"/>
      <c r="V56" s="7"/>
      <c r="W56" s="7"/>
      <c r="X56" s="7"/>
      <c r="Y56" s="2"/>
      <c r="Z56" s="7"/>
      <c r="AA56" s="2"/>
      <c r="AB56" s="7"/>
      <c r="AC56" s="2"/>
      <c r="AD56" s="7"/>
      <c r="AE56" s="2"/>
      <c r="AF56" s="7"/>
      <c r="AG56" s="2"/>
      <c r="AH56" s="7"/>
      <c r="AI56" s="2"/>
      <c r="AJ56" s="7"/>
      <c r="AK56" s="2"/>
      <c r="AL56" s="7"/>
      <c r="AM56" s="2"/>
      <c r="AN56" s="7"/>
      <c r="AO56" s="2"/>
      <c r="AP56" s="7"/>
      <c r="AQ56" s="7"/>
      <c r="AR56" s="7"/>
      <c r="AS56" s="2"/>
      <c r="AT56" s="7"/>
      <c r="AU56" s="2"/>
      <c r="AV56" s="7"/>
      <c r="AW56" s="2"/>
      <c r="AX56" s="7"/>
      <c r="AY56" s="7"/>
      <c r="AZ56" s="7"/>
      <c r="BA56" s="7"/>
      <c r="BB56" s="7"/>
      <c r="BD56" s="7"/>
      <c r="BF56" s="7"/>
      <c r="BH56" s="7"/>
      <c r="BJ56" s="7"/>
    </row>
    <row r="57" spans="1:63" ht="19.2" customHeight="1">
      <c r="A57" s="324" t="s">
        <v>103</v>
      </c>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c r="AZ57" s="324"/>
      <c r="BA57" s="324"/>
      <c r="BB57" s="324"/>
      <c r="BC57" s="324"/>
      <c r="BD57" s="324"/>
      <c r="BE57" s="324"/>
      <c r="BF57" s="324"/>
      <c r="BG57" s="324"/>
      <c r="BH57" s="324"/>
      <c r="BI57" s="324"/>
      <c r="BJ57" s="324"/>
    </row>
    <row r="58" spans="1:63" ht="15" customHeight="1">
      <c r="A58" s="320" t="s">
        <v>119</v>
      </c>
      <c r="B58" s="320"/>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0"/>
      <c r="AZ58" s="9"/>
      <c r="BA58" s="9"/>
      <c r="BB58" s="9"/>
      <c r="BD58" s="9"/>
      <c r="BF58" s="9"/>
      <c r="BH58" s="9"/>
      <c r="BJ58" s="9"/>
    </row>
    <row r="59" spans="1:63" ht="15" customHeight="1">
      <c r="A59" s="23"/>
      <c r="B59" s="23"/>
      <c r="C59" s="6"/>
      <c r="D59" s="9"/>
      <c r="E59" s="9"/>
      <c r="F59" s="9"/>
      <c r="G59" s="9"/>
      <c r="H59" s="9"/>
      <c r="I59" s="9"/>
      <c r="J59" s="9"/>
      <c r="K59" s="9"/>
      <c r="L59" s="9"/>
      <c r="M59" s="9"/>
      <c r="N59" s="9"/>
      <c r="O59" s="9"/>
      <c r="P59" s="9"/>
      <c r="Q59" s="9"/>
      <c r="R59" s="9"/>
      <c r="S59" s="3"/>
      <c r="T59" s="9"/>
      <c r="U59" s="3"/>
      <c r="V59" s="9"/>
      <c r="W59" s="9"/>
      <c r="X59" s="9"/>
      <c r="Y59" s="3"/>
      <c r="Z59" s="25"/>
      <c r="AA59" s="3"/>
      <c r="AB59" s="25"/>
      <c r="AC59" s="3"/>
      <c r="AD59" s="25"/>
      <c r="AE59" s="3"/>
      <c r="AF59" s="25"/>
      <c r="AG59" s="3"/>
      <c r="AH59" s="25"/>
      <c r="AI59" s="3"/>
      <c r="AJ59" s="25"/>
      <c r="AK59" s="3"/>
      <c r="AL59" s="25"/>
      <c r="AM59" s="3"/>
      <c r="AN59" s="25"/>
      <c r="AO59" s="3"/>
      <c r="AP59" s="25"/>
      <c r="AQ59" s="25"/>
      <c r="AR59" s="25"/>
      <c r="AS59" s="3"/>
      <c r="AT59" s="25"/>
      <c r="AU59" s="3"/>
      <c r="AV59" s="25"/>
      <c r="AW59" s="3"/>
      <c r="AX59" s="25"/>
      <c r="AY59" s="25"/>
      <c r="AZ59" s="25"/>
      <c r="BA59" s="25"/>
      <c r="BB59" s="25"/>
      <c r="BD59" s="25"/>
      <c r="BF59" s="25"/>
      <c r="BH59" s="25"/>
      <c r="BJ59" s="25"/>
    </row>
    <row r="60" spans="1:63" ht="17.25" customHeight="1">
      <c r="A60" s="108"/>
      <c r="B60" s="109"/>
      <c r="C60" s="108"/>
      <c r="D60" s="110"/>
      <c r="E60" s="110"/>
      <c r="F60" s="110"/>
      <c r="G60" s="110"/>
      <c r="H60" s="110"/>
      <c r="I60" s="110"/>
      <c r="J60" s="110"/>
      <c r="K60" s="110"/>
      <c r="L60" s="110"/>
      <c r="M60" s="110"/>
      <c r="N60" s="110"/>
      <c r="O60" s="110"/>
      <c r="P60" s="110"/>
      <c r="Q60" s="110"/>
      <c r="R60" s="110"/>
      <c r="S60" s="108"/>
      <c r="T60" s="110"/>
      <c r="U60" s="108"/>
      <c r="V60" s="110"/>
      <c r="W60" s="110"/>
      <c r="X60" s="99"/>
      <c r="Y60" s="98"/>
      <c r="Z60" s="99"/>
      <c r="AA60" s="98"/>
      <c r="AB60" s="99"/>
      <c r="AC60" s="98"/>
      <c r="AD60" s="99"/>
      <c r="AE60" s="98"/>
      <c r="AF60" s="99"/>
      <c r="AG60" s="98"/>
      <c r="AH60" s="99"/>
      <c r="AI60" s="98"/>
      <c r="AJ60" s="99"/>
      <c r="AK60" s="98"/>
      <c r="AL60" s="99"/>
      <c r="AM60" s="98"/>
      <c r="AN60" s="99"/>
      <c r="AO60" s="98"/>
      <c r="AP60" s="99"/>
      <c r="AQ60" s="99"/>
      <c r="AR60" s="99"/>
      <c r="AS60" s="98"/>
      <c r="AT60" s="99"/>
      <c r="AU60" s="98"/>
      <c r="AV60" s="99"/>
      <c r="AW60" s="98"/>
      <c r="AX60" s="99"/>
      <c r="AY60" s="99"/>
      <c r="AZ60" s="99"/>
      <c r="BA60" s="99"/>
      <c r="BB60" s="99"/>
      <c r="BD60" s="99"/>
      <c r="BF60" s="99"/>
      <c r="BH60" s="99"/>
      <c r="BJ60" s="99"/>
    </row>
    <row r="61" spans="1:63" ht="17.25" customHeight="1">
      <c r="A61" s="108"/>
      <c r="B61" s="109"/>
      <c r="C61" s="108"/>
      <c r="D61" s="110"/>
      <c r="E61" s="110"/>
      <c r="F61" s="110"/>
      <c r="G61" s="110"/>
      <c r="H61" s="110"/>
      <c r="I61" s="110"/>
      <c r="J61" s="110"/>
      <c r="K61" s="110"/>
      <c r="L61" s="110"/>
      <c r="M61" s="110"/>
      <c r="N61" s="110"/>
      <c r="O61" s="110"/>
      <c r="P61" s="110"/>
      <c r="Q61" s="110"/>
      <c r="R61" s="110"/>
      <c r="S61" s="108"/>
      <c r="T61" s="110"/>
      <c r="U61" s="108"/>
      <c r="V61" s="110"/>
      <c r="W61" s="110"/>
      <c r="X61" s="99"/>
      <c r="Y61" s="98"/>
      <c r="Z61" s="99"/>
      <c r="AA61" s="98"/>
      <c r="AB61" s="99"/>
      <c r="AC61" s="98"/>
      <c r="AD61" s="99"/>
      <c r="AE61" s="98"/>
      <c r="AF61" s="99"/>
      <c r="AG61" s="98"/>
      <c r="AH61" s="99"/>
      <c r="AI61" s="98"/>
      <c r="AJ61" s="99"/>
      <c r="AK61" s="98"/>
      <c r="AL61" s="99"/>
      <c r="AM61" s="98"/>
      <c r="AN61" s="99"/>
      <c r="AO61" s="98"/>
      <c r="AP61" s="99"/>
      <c r="AQ61" s="99"/>
      <c r="AR61" s="99"/>
      <c r="AS61" s="98"/>
      <c r="AT61" s="99"/>
      <c r="AU61" s="98"/>
      <c r="AV61" s="99"/>
      <c r="AW61" s="98"/>
      <c r="AX61" s="99"/>
      <c r="AY61" s="99"/>
      <c r="AZ61" s="99"/>
      <c r="BA61" s="99"/>
      <c r="BB61" s="99"/>
      <c r="BD61" s="99"/>
      <c r="BF61" s="99"/>
      <c r="BH61" s="99"/>
      <c r="BJ61" s="99"/>
    </row>
    <row r="62" spans="1:63" ht="17.25" customHeight="1">
      <c r="A62" s="108"/>
      <c r="B62" s="109"/>
      <c r="C62" s="108"/>
      <c r="D62" s="110"/>
      <c r="E62" s="110"/>
      <c r="F62" s="110"/>
      <c r="G62" s="110"/>
      <c r="H62" s="110"/>
      <c r="I62" s="110"/>
      <c r="J62" s="110"/>
      <c r="K62" s="110"/>
      <c r="L62" s="110"/>
      <c r="M62" s="110"/>
      <c r="N62" s="110"/>
      <c r="O62" s="110"/>
      <c r="P62" s="110"/>
      <c r="Q62" s="110"/>
      <c r="R62" s="110"/>
      <c r="S62" s="108"/>
      <c r="T62" s="110"/>
      <c r="U62" s="108"/>
      <c r="V62" s="110"/>
      <c r="W62" s="110"/>
      <c r="X62" s="99"/>
      <c r="Y62" s="98"/>
      <c r="Z62" s="99"/>
      <c r="AA62" s="98"/>
      <c r="AB62" s="99"/>
      <c r="AC62" s="98"/>
      <c r="AD62" s="99"/>
      <c r="AE62" s="98"/>
      <c r="AF62" s="99"/>
      <c r="AG62" s="98"/>
      <c r="AH62" s="99"/>
      <c r="AI62" s="98"/>
      <c r="AJ62" s="99"/>
      <c r="AK62" s="98"/>
      <c r="AL62" s="99"/>
      <c r="AM62" s="98"/>
      <c r="AN62" s="99"/>
      <c r="AO62" s="98"/>
      <c r="AP62" s="99"/>
      <c r="AQ62" s="99"/>
      <c r="AR62" s="99"/>
      <c r="AS62" s="98"/>
      <c r="AT62" s="99"/>
      <c r="AU62" s="98"/>
      <c r="AV62" s="99"/>
      <c r="AW62" s="98"/>
      <c r="AX62" s="99"/>
      <c r="AY62" s="99"/>
      <c r="AZ62" s="99"/>
      <c r="BA62" s="99"/>
      <c r="BB62" s="99"/>
      <c r="BD62" s="99"/>
      <c r="BF62" s="99"/>
      <c r="BH62" s="99"/>
      <c r="BJ62" s="99"/>
    </row>
    <row r="63" spans="1:63" ht="17.25" customHeight="1">
      <c r="A63" s="108"/>
      <c r="B63" s="109"/>
      <c r="C63" s="108"/>
      <c r="D63" s="110"/>
      <c r="E63" s="110"/>
      <c r="F63" s="110"/>
      <c r="G63" s="110"/>
      <c r="H63" s="110"/>
      <c r="I63" s="110"/>
      <c r="J63" s="110"/>
      <c r="K63" s="110"/>
      <c r="L63" s="110"/>
      <c r="M63" s="110"/>
      <c r="N63" s="110"/>
      <c r="O63" s="110"/>
      <c r="P63" s="110"/>
      <c r="Q63" s="110"/>
      <c r="R63" s="110"/>
      <c r="S63" s="108"/>
      <c r="T63" s="110"/>
      <c r="U63" s="108"/>
      <c r="V63" s="110"/>
      <c r="W63" s="110"/>
      <c r="X63" s="99"/>
      <c r="Y63" s="98"/>
      <c r="Z63" s="99"/>
      <c r="AA63" s="98"/>
      <c r="AB63" s="99"/>
      <c r="AC63" s="98"/>
      <c r="AD63" s="99"/>
      <c r="AE63" s="98"/>
      <c r="AF63" s="99"/>
      <c r="AG63" s="98"/>
      <c r="AH63" s="99"/>
      <c r="AI63" s="98"/>
      <c r="AJ63" s="99"/>
      <c r="AK63" s="98"/>
      <c r="AL63" s="99"/>
      <c r="AM63" s="98"/>
      <c r="AN63" s="99"/>
      <c r="AO63" s="98"/>
      <c r="AP63" s="99"/>
      <c r="AQ63" s="99"/>
      <c r="AR63" s="99"/>
      <c r="AS63" s="98"/>
      <c r="AT63" s="99"/>
      <c r="AU63" s="98"/>
      <c r="AV63" s="99"/>
      <c r="AW63" s="98"/>
      <c r="AX63" s="99"/>
      <c r="AY63" s="99"/>
      <c r="AZ63" s="99"/>
      <c r="BA63" s="99"/>
      <c r="BB63" s="99"/>
      <c r="BD63" s="99"/>
      <c r="BF63" s="99"/>
      <c r="BH63" s="99"/>
      <c r="BJ63" s="99"/>
    </row>
    <row r="64" spans="1:63" ht="17.25" customHeight="1">
      <c r="A64" s="108"/>
      <c r="B64" s="109"/>
      <c r="C64" s="108"/>
      <c r="D64" s="110"/>
      <c r="E64" s="110"/>
      <c r="F64" s="110"/>
      <c r="G64" s="110"/>
      <c r="H64" s="110"/>
      <c r="I64" s="110"/>
      <c r="J64" s="110"/>
      <c r="K64" s="110"/>
      <c r="L64" s="110"/>
      <c r="M64" s="110"/>
      <c r="N64" s="110"/>
      <c r="O64" s="110"/>
      <c r="P64" s="110"/>
      <c r="Q64" s="110"/>
      <c r="R64" s="110"/>
      <c r="S64" s="108"/>
      <c r="T64" s="110"/>
      <c r="U64" s="108"/>
      <c r="V64" s="110"/>
      <c r="W64" s="110"/>
      <c r="X64" s="99"/>
      <c r="Y64" s="98"/>
      <c r="Z64" s="99"/>
      <c r="AA64" s="98"/>
      <c r="AB64" s="99"/>
      <c r="AC64" s="98"/>
      <c r="AD64" s="99"/>
      <c r="AE64" s="98"/>
      <c r="AF64" s="99"/>
      <c r="AG64" s="98"/>
      <c r="AH64" s="99"/>
      <c r="AI64" s="98"/>
      <c r="AJ64" s="99"/>
      <c r="AK64" s="98"/>
      <c r="AL64" s="99"/>
      <c r="AM64" s="98"/>
      <c r="AN64" s="99"/>
      <c r="AO64" s="98"/>
      <c r="AP64" s="99"/>
      <c r="AQ64" s="99"/>
      <c r="AR64" s="99"/>
      <c r="AS64" s="98"/>
      <c r="AT64" s="99"/>
      <c r="AU64" s="98"/>
      <c r="AV64" s="99"/>
      <c r="AW64" s="98"/>
      <c r="AX64" s="99"/>
      <c r="AY64" s="99"/>
      <c r="AZ64" s="99"/>
      <c r="BA64" s="99"/>
      <c r="BB64" s="99"/>
      <c r="BD64" s="99"/>
      <c r="BF64" s="99"/>
      <c r="BH64" s="99"/>
      <c r="BJ64" s="99"/>
    </row>
    <row r="65" spans="1:62" ht="17.25" customHeight="1">
      <c r="A65" s="108"/>
      <c r="B65" s="109"/>
      <c r="C65" s="108"/>
      <c r="D65" s="110"/>
      <c r="E65" s="110"/>
      <c r="F65" s="110"/>
      <c r="G65" s="110"/>
      <c r="H65" s="110"/>
      <c r="I65" s="110"/>
      <c r="J65" s="110"/>
      <c r="K65" s="110"/>
      <c r="L65" s="110"/>
      <c r="M65" s="110"/>
      <c r="N65" s="110"/>
      <c r="O65" s="110"/>
      <c r="P65" s="110"/>
      <c r="Q65" s="110"/>
      <c r="R65" s="110"/>
      <c r="S65" s="108"/>
      <c r="T65" s="110"/>
      <c r="U65" s="108"/>
      <c r="V65" s="110"/>
      <c r="W65" s="110"/>
      <c r="X65" s="99"/>
      <c r="Y65" s="98"/>
      <c r="Z65" s="99"/>
      <c r="AA65" s="98"/>
      <c r="AB65" s="99"/>
      <c r="AC65" s="98"/>
      <c r="AD65" s="99"/>
      <c r="AE65" s="98"/>
      <c r="AF65" s="99"/>
      <c r="AG65" s="98"/>
      <c r="AH65" s="99"/>
      <c r="AI65" s="98"/>
      <c r="AJ65" s="99"/>
      <c r="AK65" s="98"/>
      <c r="AL65" s="99"/>
      <c r="AM65" s="98"/>
      <c r="AN65" s="99"/>
      <c r="AO65" s="98"/>
      <c r="AP65" s="99"/>
      <c r="AQ65" s="99"/>
      <c r="AR65" s="99"/>
      <c r="AS65" s="98"/>
      <c r="AT65" s="99"/>
      <c r="AU65" s="98"/>
      <c r="AV65" s="99"/>
      <c r="AW65" s="98"/>
      <c r="AX65" s="99"/>
      <c r="AY65" s="99"/>
      <c r="AZ65" s="99"/>
      <c r="BA65" s="99"/>
      <c r="BB65" s="99"/>
      <c r="BD65" s="99"/>
      <c r="BF65" s="99"/>
      <c r="BH65" s="99"/>
      <c r="BJ65" s="99"/>
    </row>
    <row r="66" spans="1:62" ht="17.25" customHeight="1">
      <c r="A66" s="108"/>
      <c r="B66" s="109"/>
      <c r="C66" s="108"/>
      <c r="D66" s="110"/>
      <c r="E66" s="110"/>
      <c r="F66" s="110"/>
      <c r="G66" s="110"/>
      <c r="H66" s="110"/>
      <c r="I66" s="110"/>
      <c r="J66" s="110"/>
      <c r="K66" s="110"/>
      <c r="L66" s="110"/>
      <c r="M66" s="110"/>
      <c r="N66" s="110"/>
      <c r="O66" s="110"/>
      <c r="P66" s="110"/>
      <c r="Q66" s="110"/>
      <c r="R66" s="110"/>
      <c r="S66" s="108"/>
      <c r="T66" s="110"/>
      <c r="U66" s="108"/>
      <c r="V66" s="110"/>
      <c r="W66" s="110"/>
      <c r="X66" s="99"/>
      <c r="Y66" s="98"/>
      <c r="Z66" s="99"/>
      <c r="AA66" s="98"/>
      <c r="AB66" s="99"/>
      <c r="AC66" s="98"/>
      <c r="AD66" s="99"/>
      <c r="AE66" s="98"/>
      <c r="AF66" s="99"/>
      <c r="AG66" s="98"/>
      <c r="AH66" s="99"/>
      <c r="AI66" s="98"/>
      <c r="AJ66" s="99"/>
      <c r="AK66" s="98"/>
      <c r="AL66" s="99"/>
      <c r="AM66" s="98"/>
      <c r="AN66" s="99"/>
      <c r="AO66" s="98"/>
      <c r="AP66" s="99"/>
      <c r="AQ66" s="99"/>
      <c r="AR66" s="99"/>
      <c r="AS66" s="98"/>
      <c r="AT66" s="99"/>
      <c r="AU66" s="98"/>
      <c r="AV66" s="99"/>
      <c r="AW66" s="98"/>
      <c r="AX66" s="99"/>
      <c r="AY66" s="99"/>
      <c r="AZ66" s="99"/>
      <c r="BA66" s="99"/>
      <c r="BB66" s="99"/>
      <c r="BD66" s="99"/>
      <c r="BF66" s="99"/>
      <c r="BH66" s="99"/>
      <c r="BJ66" s="99"/>
    </row>
    <row r="67" spans="1:62" ht="17.25" customHeight="1">
      <c r="A67" s="108"/>
      <c r="B67" s="109"/>
      <c r="C67" s="108"/>
      <c r="D67" s="110"/>
      <c r="E67" s="110"/>
      <c r="F67" s="110"/>
      <c r="G67" s="110"/>
      <c r="H67" s="110"/>
      <c r="I67" s="110"/>
      <c r="J67" s="110"/>
      <c r="K67" s="110"/>
      <c r="L67" s="110"/>
      <c r="M67" s="110"/>
      <c r="N67" s="110"/>
      <c r="O67" s="110"/>
      <c r="P67" s="110"/>
      <c r="Q67" s="110"/>
      <c r="R67" s="110"/>
      <c r="S67" s="108"/>
      <c r="T67" s="110"/>
      <c r="U67" s="108"/>
      <c r="V67" s="110"/>
      <c r="W67" s="110"/>
      <c r="X67" s="99"/>
      <c r="Y67" s="98"/>
      <c r="Z67" s="99"/>
      <c r="AA67" s="98"/>
      <c r="AB67" s="99"/>
      <c r="AC67" s="98"/>
      <c r="AD67" s="99"/>
      <c r="AE67" s="98"/>
      <c r="AF67" s="99"/>
      <c r="AG67" s="98"/>
      <c r="AH67" s="99"/>
      <c r="AI67" s="98"/>
      <c r="AJ67" s="99"/>
      <c r="AK67" s="98"/>
      <c r="AL67" s="99"/>
      <c r="AM67" s="98"/>
      <c r="AN67" s="99"/>
      <c r="AO67" s="98"/>
      <c r="AP67" s="99"/>
      <c r="AQ67" s="99"/>
      <c r="AR67" s="99"/>
      <c r="AS67" s="98"/>
      <c r="AT67" s="99"/>
      <c r="AU67" s="98"/>
      <c r="AV67" s="99"/>
      <c r="AW67" s="98"/>
      <c r="AX67" s="99"/>
      <c r="AY67" s="99"/>
      <c r="AZ67" s="99"/>
      <c r="BA67" s="99"/>
      <c r="BB67" s="99"/>
      <c r="BD67" s="99"/>
      <c r="BF67" s="99"/>
      <c r="BH67" s="99"/>
      <c r="BJ67" s="99"/>
    </row>
    <row r="68" spans="1:62" ht="17.25" customHeight="1">
      <c r="A68" s="108"/>
      <c r="B68" s="109"/>
      <c r="C68" s="108"/>
      <c r="D68" s="110"/>
      <c r="E68" s="110"/>
      <c r="F68" s="110"/>
      <c r="G68" s="110"/>
      <c r="H68" s="110"/>
      <c r="I68" s="110"/>
      <c r="J68" s="110"/>
      <c r="K68" s="110"/>
      <c r="L68" s="110"/>
      <c r="M68" s="110"/>
      <c r="N68" s="110"/>
      <c r="O68" s="110"/>
      <c r="P68" s="110"/>
      <c r="Q68" s="110"/>
      <c r="R68" s="110"/>
      <c r="S68" s="108"/>
      <c r="T68" s="110"/>
      <c r="U68" s="108"/>
      <c r="V68" s="110"/>
      <c r="W68" s="110"/>
      <c r="X68" s="99"/>
      <c r="Y68" s="98"/>
      <c r="Z68" s="99"/>
      <c r="AA68" s="98"/>
      <c r="AB68" s="99"/>
      <c r="AC68" s="98"/>
      <c r="AD68" s="99"/>
      <c r="AE68" s="98"/>
      <c r="AF68" s="99"/>
      <c r="AG68" s="98"/>
      <c r="AH68" s="99"/>
      <c r="AI68" s="98"/>
      <c r="AJ68" s="99"/>
      <c r="AK68" s="98"/>
      <c r="AL68" s="99"/>
      <c r="AM68" s="98"/>
      <c r="AN68" s="99"/>
      <c r="AO68" s="98"/>
      <c r="AP68" s="99"/>
      <c r="AQ68" s="99"/>
      <c r="AR68" s="99"/>
      <c r="AS68" s="98"/>
      <c r="AT68" s="99"/>
      <c r="AU68" s="98"/>
      <c r="AV68" s="99"/>
      <c r="AW68" s="98"/>
      <c r="AX68" s="99"/>
      <c r="AY68" s="99"/>
      <c r="AZ68" s="99"/>
      <c r="BA68" s="99"/>
      <c r="BB68" s="99"/>
      <c r="BD68" s="99"/>
      <c r="BF68" s="99"/>
      <c r="BH68" s="99"/>
      <c r="BJ68" s="99"/>
    </row>
    <row r="69" spans="1:62" ht="17.25" customHeight="1">
      <c r="A69" s="108"/>
      <c r="B69" s="109"/>
      <c r="C69" s="108"/>
      <c r="D69" s="110"/>
      <c r="E69" s="110"/>
      <c r="F69" s="110"/>
      <c r="G69" s="110"/>
      <c r="H69" s="110"/>
      <c r="I69" s="110"/>
      <c r="J69" s="110"/>
      <c r="K69" s="110"/>
      <c r="L69" s="110"/>
      <c r="M69" s="110"/>
      <c r="N69" s="110"/>
      <c r="O69" s="110"/>
      <c r="P69" s="110"/>
      <c r="Q69" s="110"/>
      <c r="R69" s="110"/>
      <c r="S69" s="108"/>
      <c r="T69" s="110"/>
      <c r="U69" s="108"/>
      <c r="V69" s="110"/>
      <c r="W69" s="110"/>
      <c r="X69" s="99"/>
      <c r="Y69" s="98"/>
      <c r="Z69" s="99"/>
      <c r="AA69" s="98"/>
      <c r="AB69" s="99"/>
      <c r="AC69" s="98"/>
      <c r="AD69" s="99"/>
      <c r="AE69" s="98"/>
      <c r="AF69" s="99"/>
      <c r="AG69" s="98"/>
      <c r="AH69" s="99"/>
      <c r="AI69" s="98"/>
      <c r="AJ69" s="99"/>
      <c r="AK69" s="98"/>
      <c r="AL69" s="99"/>
      <c r="AM69" s="98"/>
      <c r="AN69" s="99"/>
      <c r="AO69" s="98"/>
      <c r="AP69" s="99"/>
      <c r="AQ69" s="99"/>
      <c r="AR69" s="99"/>
      <c r="AS69" s="98"/>
      <c r="AT69" s="99"/>
      <c r="AU69" s="98"/>
      <c r="AV69" s="99"/>
      <c r="AW69" s="98"/>
      <c r="AX69" s="99"/>
      <c r="AY69" s="99"/>
      <c r="AZ69" s="99"/>
      <c r="BA69" s="99"/>
      <c r="BB69" s="99"/>
      <c r="BD69" s="99"/>
      <c r="BF69" s="99"/>
      <c r="BH69" s="99"/>
      <c r="BJ69" s="99"/>
    </row>
    <row r="70" spans="1:62" ht="17.25" customHeight="1">
      <c r="A70" s="108"/>
      <c r="B70" s="109"/>
      <c r="C70" s="108"/>
      <c r="D70" s="110"/>
      <c r="E70" s="110"/>
      <c r="F70" s="110"/>
      <c r="G70" s="110"/>
      <c r="H70" s="110"/>
      <c r="I70" s="110"/>
      <c r="J70" s="110"/>
      <c r="K70" s="110"/>
      <c r="L70" s="110"/>
      <c r="M70" s="110"/>
      <c r="N70" s="110"/>
      <c r="O70" s="110"/>
      <c r="P70" s="110"/>
      <c r="Q70" s="110"/>
      <c r="R70" s="110"/>
      <c r="S70" s="108"/>
      <c r="T70" s="110"/>
      <c r="U70" s="108"/>
      <c r="V70" s="110"/>
      <c r="W70" s="110"/>
      <c r="X70" s="99"/>
      <c r="Y70" s="98"/>
      <c r="Z70" s="99"/>
      <c r="AA70" s="98"/>
      <c r="AB70" s="99"/>
      <c r="AC70" s="98"/>
      <c r="AD70" s="99"/>
      <c r="AE70" s="98"/>
      <c r="AF70" s="99"/>
      <c r="AG70" s="98"/>
      <c r="AH70" s="99"/>
      <c r="AI70" s="98"/>
      <c r="AJ70" s="99"/>
      <c r="AK70" s="98"/>
      <c r="AL70" s="99"/>
      <c r="AM70" s="98"/>
      <c r="AN70" s="99"/>
      <c r="AO70" s="98"/>
      <c r="AP70" s="99"/>
      <c r="AQ70" s="99"/>
      <c r="AR70" s="99"/>
      <c r="AS70" s="98"/>
      <c r="AT70" s="99"/>
      <c r="AU70" s="98"/>
      <c r="AV70" s="99"/>
      <c r="AW70" s="98"/>
      <c r="AX70" s="99"/>
      <c r="AY70" s="99"/>
      <c r="AZ70" s="99"/>
      <c r="BA70" s="99"/>
      <c r="BB70" s="99"/>
      <c r="BD70" s="99"/>
      <c r="BF70" s="99"/>
      <c r="BH70" s="99"/>
      <c r="BJ70" s="99"/>
    </row>
    <row r="71" spans="1:62" ht="17.25" customHeight="1">
      <c r="A71" s="108"/>
      <c r="B71" s="109"/>
      <c r="C71" s="108"/>
      <c r="D71" s="110"/>
      <c r="E71" s="110"/>
      <c r="F71" s="110"/>
      <c r="G71" s="110"/>
      <c r="H71" s="110"/>
      <c r="I71" s="110"/>
      <c r="J71" s="110"/>
      <c r="K71" s="110"/>
      <c r="L71" s="110"/>
      <c r="M71" s="110"/>
      <c r="N71" s="110"/>
      <c r="O71" s="110"/>
      <c r="P71" s="110"/>
      <c r="Q71" s="110"/>
      <c r="R71" s="110"/>
      <c r="S71" s="108"/>
      <c r="T71" s="110"/>
      <c r="U71" s="108"/>
      <c r="V71" s="110"/>
      <c r="W71" s="110"/>
      <c r="X71" s="99"/>
      <c r="Y71" s="98"/>
      <c r="Z71" s="99"/>
      <c r="AA71" s="98"/>
      <c r="AB71" s="99"/>
      <c r="AC71" s="98"/>
      <c r="AD71" s="99"/>
      <c r="AE71" s="98"/>
      <c r="AF71" s="99"/>
      <c r="AG71" s="98"/>
      <c r="AH71" s="99"/>
      <c r="AI71" s="98"/>
      <c r="AJ71" s="99"/>
      <c r="AK71" s="98"/>
      <c r="AL71" s="99"/>
      <c r="AM71" s="98"/>
      <c r="AN71" s="99"/>
      <c r="AO71" s="98"/>
      <c r="AP71" s="99"/>
      <c r="AQ71" s="99"/>
      <c r="AR71" s="99"/>
      <c r="AS71" s="98"/>
      <c r="AT71" s="99"/>
      <c r="AU71" s="98"/>
      <c r="AV71" s="99"/>
      <c r="AW71" s="98"/>
      <c r="AX71" s="99"/>
      <c r="AY71" s="99"/>
      <c r="AZ71" s="99"/>
      <c r="BA71" s="99"/>
      <c r="BB71" s="99"/>
      <c r="BD71" s="99"/>
      <c r="BF71" s="99"/>
      <c r="BH71" s="99"/>
      <c r="BJ71" s="99"/>
    </row>
    <row r="72" spans="1:62" ht="17.25" customHeight="1">
      <c r="A72" s="108"/>
      <c r="B72" s="109"/>
      <c r="C72" s="108"/>
      <c r="D72" s="110"/>
      <c r="E72" s="110"/>
      <c r="F72" s="110"/>
      <c r="G72" s="110"/>
      <c r="H72" s="110"/>
      <c r="I72" s="110"/>
      <c r="J72" s="110"/>
      <c r="K72" s="110"/>
      <c r="L72" s="110"/>
      <c r="M72" s="110"/>
      <c r="N72" s="110"/>
      <c r="O72" s="110"/>
      <c r="P72" s="110"/>
      <c r="Q72" s="110"/>
      <c r="R72" s="110"/>
      <c r="S72" s="108"/>
      <c r="T72" s="110"/>
      <c r="U72" s="108"/>
      <c r="V72" s="110"/>
      <c r="W72" s="110"/>
      <c r="X72" s="99"/>
      <c r="Y72" s="98"/>
      <c r="Z72" s="99"/>
      <c r="AA72" s="98"/>
      <c r="AB72" s="99"/>
      <c r="AC72" s="98"/>
      <c r="AD72" s="99"/>
      <c r="AE72" s="98"/>
      <c r="AF72" s="99"/>
      <c r="AG72" s="98"/>
      <c r="AH72" s="99"/>
      <c r="AI72" s="98"/>
      <c r="AJ72" s="99"/>
      <c r="AK72" s="98"/>
      <c r="AL72" s="99"/>
      <c r="AM72" s="98"/>
      <c r="AN72" s="99"/>
      <c r="AO72" s="98"/>
      <c r="AP72" s="99"/>
      <c r="AQ72" s="99"/>
      <c r="AR72" s="99"/>
      <c r="AS72" s="98"/>
      <c r="AT72" s="99"/>
      <c r="AU72" s="98"/>
      <c r="AV72" s="99"/>
      <c r="AW72" s="98"/>
      <c r="AX72" s="99"/>
      <c r="AY72" s="99"/>
      <c r="AZ72" s="99"/>
      <c r="BA72" s="99"/>
      <c r="BB72" s="99"/>
      <c r="BD72" s="99"/>
      <c r="BF72" s="99"/>
      <c r="BH72" s="99"/>
      <c r="BJ72" s="99"/>
    </row>
    <row r="73" spans="1:62" ht="17.25" customHeight="1">
      <c r="A73" s="108"/>
      <c r="B73" s="109"/>
      <c r="C73" s="108"/>
      <c r="D73" s="110"/>
      <c r="E73" s="110"/>
      <c r="F73" s="110"/>
      <c r="G73" s="110"/>
      <c r="H73" s="110"/>
      <c r="I73" s="110"/>
      <c r="J73" s="110"/>
      <c r="K73" s="110"/>
      <c r="L73" s="110"/>
      <c r="M73" s="110"/>
      <c r="N73" s="110"/>
      <c r="O73" s="110"/>
      <c r="P73" s="110"/>
      <c r="Q73" s="110"/>
      <c r="R73" s="110"/>
      <c r="S73" s="108"/>
      <c r="T73" s="110"/>
      <c r="U73" s="108"/>
      <c r="V73" s="110"/>
      <c r="W73" s="110"/>
      <c r="X73" s="99"/>
      <c r="Y73" s="98"/>
      <c r="Z73" s="99"/>
      <c r="AA73" s="98"/>
      <c r="AB73" s="99"/>
      <c r="AC73" s="98"/>
      <c r="AD73" s="99"/>
      <c r="AE73" s="98"/>
      <c r="AF73" s="99"/>
      <c r="AG73" s="98"/>
      <c r="AH73" s="99"/>
      <c r="AI73" s="98"/>
      <c r="AJ73" s="99"/>
      <c r="AK73" s="98"/>
      <c r="AL73" s="99"/>
      <c r="AM73" s="98"/>
      <c r="AN73" s="99"/>
      <c r="AO73" s="98"/>
      <c r="AP73" s="99"/>
      <c r="AQ73" s="99"/>
      <c r="AR73" s="99"/>
      <c r="AS73" s="98"/>
      <c r="AT73" s="99"/>
      <c r="AU73" s="98"/>
      <c r="AV73" s="99"/>
      <c r="AW73" s="98"/>
      <c r="AX73" s="99"/>
      <c r="AY73" s="99"/>
      <c r="AZ73" s="99"/>
      <c r="BA73" s="99"/>
      <c r="BB73" s="99"/>
      <c r="BD73" s="99"/>
      <c r="BF73" s="99"/>
      <c r="BH73" s="99"/>
      <c r="BJ73" s="99"/>
    </row>
    <row r="74" spans="1:62" ht="17.25" customHeight="1">
      <c r="A74" s="108"/>
      <c r="B74" s="109"/>
      <c r="C74" s="108"/>
      <c r="D74" s="110"/>
      <c r="E74" s="110"/>
      <c r="F74" s="110"/>
      <c r="G74" s="110"/>
      <c r="H74" s="110"/>
      <c r="I74" s="110"/>
      <c r="J74" s="110"/>
      <c r="K74" s="110"/>
      <c r="L74" s="110"/>
      <c r="M74" s="110"/>
      <c r="N74" s="110"/>
      <c r="O74" s="110"/>
      <c r="P74" s="110"/>
      <c r="Q74" s="110"/>
      <c r="R74" s="110"/>
      <c r="S74" s="108"/>
      <c r="T74" s="110"/>
      <c r="U74" s="108"/>
      <c r="V74" s="110"/>
      <c r="W74" s="110"/>
      <c r="X74" s="99"/>
      <c r="Y74" s="98"/>
      <c r="Z74" s="99"/>
      <c r="AA74" s="98"/>
      <c r="AB74" s="99"/>
      <c r="AC74" s="98"/>
      <c r="AD74" s="99"/>
      <c r="AE74" s="98"/>
      <c r="AF74" s="99"/>
      <c r="AG74" s="98"/>
      <c r="AH74" s="99"/>
      <c r="AI74" s="98"/>
      <c r="AJ74" s="99"/>
      <c r="AK74" s="98"/>
      <c r="AL74" s="99"/>
      <c r="AM74" s="98"/>
      <c r="AN74" s="99"/>
      <c r="AO74" s="98"/>
      <c r="AP74" s="99"/>
      <c r="AQ74" s="99"/>
      <c r="AR74" s="99"/>
      <c r="AS74" s="98"/>
      <c r="AT74" s="99"/>
      <c r="AU74" s="98"/>
      <c r="AV74" s="99"/>
      <c r="AW74" s="98"/>
      <c r="AX74" s="99"/>
      <c r="AY74" s="99"/>
      <c r="AZ74" s="99"/>
      <c r="BA74" s="99"/>
      <c r="BB74" s="99"/>
      <c r="BD74" s="99"/>
      <c r="BF74" s="99"/>
      <c r="BH74" s="99"/>
      <c r="BJ74" s="99"/>
    </row>
    <row r="75" spans="1:62" ht="17.25" customHeight="1">
      <c r="A75" s="108"/>
      <c r="B75" s="109"/>
      <c r="C75" s="108"/>
      <c r="D75" s="110"/>
      <c r="E75" s="110"/>
      <c r="F75" s="110"/>
      <c r="G75" s="110"/>
      <c r="H75" s="110"/>
      <c r="I75" s="110"/>
      <c r="J75" s="110"/>
      <c r="K75" s="110"/>
      <c r="L75" s="110"/>
      <c r="M75" s="110"/>
      <c r="N75" s="110"/>
      <c r="O75" s="110"/>
      <c r="P75" s="110"/>
      <c r="Q75" s="110"/>
      <c r="R75" s="110"/>
      <c r="S75" s="108"/>
      <c r="T75" s="110"/>
      <c r="U75" s="108"/>
      <c r="V75" s="110"/>
      <c r="W75" s="110"/>
      <c r="X75" s="99"/>
      <c r="Y75" s="98"/>
      <c r="Z75" s="99"/>
      <c r="AA75" s="98"/>
      <c r="AB75" s="99"/>
      <c r="AC75" s="98"/>
      <c r="AD75" s="99"/>
      <c r="AE75" s="98"/>
      <c r="AF75" s="99"/>
      <c r="AG75" s="98"/>
      <c r="AH75" s="99"/>
      <c r="AI75" s="98"/>
      <c r="AJ75" s="99"/>
      <c r="AK75" s="98"/>
      <c r="AL75" s="99"/>
      <c r="AM75" s="98"/>
      <c r="AN75" s="99"/>
      <c r="AO75" s="98"/>
      <c r="AP75" s="99"/>
      <c r="AQ75" s="99"/>
      <c r="AR75" s="99"/>
      <c r="AS75" s="98"/>
      <c r="AT75" s="99"/>
      <c r="AU75" s="98"/>
      <c r="AV75" s="99"/>
      <c r="AW75" s="98"/>
      <c r="AX75" s="99"/>
      <c r="AY75" s="99"/>
      <c r="AZ75" s="99"/>
      <c r="BA75" s="99"/>
      <c r="BB75" s="99"/>
      <c r="BD75" s="99"/>
      <c r="BF75" s="99"/>
      <c r="BH75" s="99"/>
      <c r="BJ75" s="99"/>
    </row>
    <row r="76" spans="1:62" ht="17.25" customHeight="1">
      <c r="A76" s="108"/>
      <c r="B76" s="109"/>
      <c r="C76" s="108"/>
      <c r="D76" s="110"/>
      <c r="E76" s="110"/>
      <c r="F76" s="110"/>
      <c r="G76" s="110"/>
      <c r="H76" s="110"/>
      <c r="I76" s="110"/>
      <c r="J76" s="110"/>
      <c r="K76" s="110"/>
      <c r="L76" s="110"/>
      <c r="M76" s="110"/>
      <c r="N76" s="110"/>
      <c r="O76" s="110"/>
      <c r="P76" s="110"/>
      <c r="Q76" s="110"/>
      <c r="R76" s="110"/>
      <c r="S76" s="108"/>
      <c r="T76" s="110"/>
      <c r="U76" s="108"/>
      <c r="V76" s="110"/>
      <c r="W76" s="110"/>
      <c r="X76" s="99"/>
      <c r="Y76" s="98"/>
      <c r="Z76" s="99"/>
      <c r="AA76" s="98"/>
      <c r="AB76" s="99"/>
      <c r="AC76" s="98"/>
      <c r="AD76" s="99"/>
      <c r="AE76" s="98"/>
      <c r="AF76" s="99"/>
      <c r="AG76" s="98"/>
      <c r="AH76" s="99"/>
      <c r="AI76" s="98"/>
      <c r="AJ76" s="99"/>
      <c r="AK76" s="98"/>
      <c r="AL76" s="99"/>
      <c r="AM76" s="98"/>
      <c r="AN76" s="99"/>
      <c r="AO76" s="98"/>
      <c r="AP76" s="99"/>
      <c r="AQ76" s="99"/>
      <c r="AR76" s="99"/>
      <c r="AS76" s="98"/>
      <c r="AT76" s="99"/>
      <c r="AU76" s="98"/>
      <c r="AV76" s="99"/>
      <c r="AW76" s="98"/>
      <c r="AX76" s="99"/>
      <c r="AY76" s="99"/>
      <c r="AZ76" s="99"/>
      <c r="BA76" s="99"/>
      <c r="BB76" s="99"/>
      <c r="BD76" s="99"/>
      <c r="BF76" s="99"/>
      <c r="BH76" s="99"/>
      <c r="BJ76" s="99"/>
    </row>
    <row r="77" spans="1:62" ht="17.25" customHeight="1">
      <c r="A77" s="108"/>
      <c r="B77" s="109"/>
      <c r="C77" s="108"/>
      <c r="D77" s="110"/>
      <c r="E77" s="110"/>
      <c r="F77" s="110"/>
      <c r="G77" s="110"/>
      <c r="H77" s="110"/>
      <c r="I77" s="110"/>
      <c r="J77" s="110"/>
      <c r="K77" s="110"/>
      <c r="L77" s="110"/>
      <c r="M77" s="110"/>
      <c r="N77" s="110"/>
      <c r="O77" s="110"/>
      <c r="P77" s="110"/>
      <c r="Q77" s="110"/>
      <c r="R77" s="110"/>
      <c r="S77" s="108"/>
      <c r="T77" s="110"/>
      <c r="U77" s="108"/>
      <c r="V77" s="110"/>
      <c r="W77" s="110"/>
      <c r="X77" s="99"/>
      <c r="Y77" s="98"/>
      <c r="Z77" s="99"/>
      <c r="AA77" s="98"/>
      <c r="AB77" s="99"/>
      <c r="AC77" s="98"/>
      <c r="AD77" s="99"/>
      <c r="AE77" s="98"/>
      <c r="AF77" s="99"/>
      <c r="AG77" s="98"/>
      <c r="AH77" s="99"/>
      <c r="AI77" s="98"/>
      <c r="AJ77" s="99"/>
      <c r="AK77" s="98"/>
      <c r="AL77" s="99"/>
      <c r="AM77" s="98"/>
      <c r="AN77" s="99"/>
      <c r="AO77" s="98"/>
      <c r="AP77" s="99"/>
      <c r="AQ77" s="99"/>
      <c r="AR77" s="99"/>
      <c r="AS77" s="98"/>
      <c r="AT77" s="99"/>
      <c r="AU77" s="98"/>
      <c r="AV77" s="99"/>
      <c r="AW77" s="98"/>
      <c r="AX77" s="99"/>
      <c r="AY77" s="99"/>
      <c r="AZ77" s="99"/>
      <c r="BA77" s="99"/>
      <c r="BB77" s="99"/>
      <c r="BD77" s="99"/>
      <c r="BF77" s="99"/>
      <c r="BH77" s="99"/>
      <c r="BJ77" s="99"/>
    </row>
    <row r="78" spans="1:62" ht="17.25" customHeight="1">
      <c r="A78" s="108"/>
      <c r="B78" s="109"/>
      <c r="C78" s="108"/>
      <c r="D78" s="110"/>
      <c r="E78" s="110"/>
      <c r="F78" s="110"/>
      <c r="G78" s="110"/>
      <c r="H78" s="110"/>
      <c r="I78" s="110"/>
      <c r="J78" s="110"/>
      <c r="K78" s="110"/>
      <c r="L78" s="110"/>
      <c r="M78" s="110"/>
      <c r="N78" s="110"/>
      <c r="O78" s="110"/>
      <c r="P78" s="110"/>
      <c r="Q78" s="110"/>
      <c r="R78" s="110"/>
      <c r="S78" s="108"/>
      <c r="T78" s="110"/>
      <c r="U78" s="108"/>
      <c r="V78" s="110"/>
      <c r="W78" s="110"/>
      <c r="X78" s="99"/>
      <c r="Y78" s="98"/>
      <c r="Z78" s="99"/>
      <c r="AA78" s="98"/>
      <c r="AB78" s="99"/>
      <c r="AC78" s="98"/>
      <c r="AD78" s="99"/>
      <c r="AE78" s="98"/>
      <c r="AF78" s="99"/>
      <c r="AG78" s="98"/>
      <c r="AH78" s="99"/>
      <c r="AI78" s="98"/>
      <c r="AJ78" s="99"/>
      <c r="AK78" s="98"/>
      <c r="AL78" s="99"/>
      <c r="AM78" s="98"/>
      <c r="AN78" s="99"/>
      <c r="AO78" s="98"/>
      <c r="AP78" s="99"/>
      <c r="AQ78" s="99"/>
      <c r="AR78" s="99"/>
      <c r="AS78" s="98"/>
      <c r="AT78" s="99"/>
      <c r="AU78" s="98"/>
      <c r="AV78" s="99"/>
      <c r="AW78" s="98"/>
      <c r="AX78" s="99"/>
      <c r="AY78" s="99"/>
      <c r="AZ78" s="99"/>
      <c r="BA78" s="99"/>
      <c r="BB78" s="99"/>
      <c r="BD78" s="99"/>
      <c r="BF78" s="99"/>
      <c r="BH78" s="99"/>
      <c r="BJ78" s="99"/>
    </row>
    <row r="79" spans="1:62" ht="17.25" customHeight="1">
      <c r="A79" s="108"/>
      <c r="B79" s="109"/>
      <c r="C79" s="108"/>
      <c r="D79" s="110"/>
      <c r="E79" s="110"/>
      <c r="F79" s="110"/>
      <c r="G79" s="110"/>
      <c r="H79" s="110"/>
      <c r="I79" s="110"/>
      <c r="J79" s="110"/>
      <c r="K79" s="110"/>
      <c r="L79" s="110"/>
      <c r="M79" s="110"/>
      <c r="N79" s="110"/>
      <c r="O79" s="110"/>
      <c r="P79" s="110"/>
      <c r="Q79" s="110"/>
      <c r="R79" s="110"/>
      <c r="S79" s="108"/>
      <c r="T79" s="110"/>
      <c r="U79" s="108"/>
      <c r="V79" s="110"/>
      <c r="W79" s="110"/>
      <c r="X79" s="99"/>
      <c r="Y79" s="98"/>
      <c r="Z79" s="99"/>
      <c r="AA79" s="98"/>
      <c r="AB79" s="99"/>
      <c r="AC79" s="98"/>
      <c r="AD79" s="99"/>
      <c r="AE79" s="98"/>
      <c r="AF79" s="99"/>
      <c r="AG79" s="98"/>
      <c r="AH79" s="99"/>
      <c r="AI79" s="98"/>
      <c r="AJ79" s="99"/>
      <c r="AK79" s="98"/>
      <c r="AL79" s="99"/>
      <c r="AM79" s="98"/>
      <c r="AN79" s="99"/>
      <c r="AO79" s="98"/>
      <c r="AP79" s="99"/>
      <c r="AQ79" s="99"/>
      <c r="AR79" s="99"/>
      <c r="AS79" s="98"/>
      <c r="AT79" s="99"/>
      <c r="AU79" s="98"/>
      <c r="AV79" s="99"/>
      <c r="AW79" s="98"/>
      <c r="AX79" s="99"/>
      <c r="AY79" s="99"/>
      <c r="AZ79" s="99"/>
      <c r="BA79" s="99"/>
      <c r="BB79" s="99"/>
      <c r="BD79" s="99"/>
      <c r="BF79" s="99"/>
      <c r="BH79" s="99"/>
      <c r="BJ79" s="99"/>
    </row>
    <row r="80" spans="1:62" ht="17.25" customHeight="1">
      <c r="A80" s="108"/>
      <c r="B80" s="109"/>
      <c r="C80" s="108"/>
      <c r="D80" s="110"/>
      <c r="E80" s="110"/>
      <c r="F80" s="110"/>
      <c r="G80" s="110"/>
      <c r="H80" s="110"/>
      <c r="I80" s="110"/>
      <c r="J80" s="110"/>
      <c r="K80" s="110"/>
      <c r="L80" s="110"/>
      <c r="M80" s="110"/>
      <c r="N80" s="110"/>
      <c r="O80" s="110"/>
      <c r="P80" s="110"/>
      <c r="Q80" s="110"/>
      <c r="R80" s="110"/>
      <c r="S80" s="108"/>
      <c r="T80" s="110"/>
      <c r="U80" s="108"/>
      <c r="V80" s="110"/>
      <c r="W80" s="110"/>
      <c r="X80" s="99"/>
      <c r="Y80" s="98"/>
      <c r="Z80" s="99"/>
      <c r="AA80" s="98"/>
      <c r="AB80" s="99"/>
      <c r="AC80" s="98"/>
      <c r="AD80" s="99"/>
      <c r="AE80" s="98"/>
      <c r="AF80" s="99"/>
      <c r="AG80" s="98"/>
      <c r="AH80" s="99"/>
      <c r="AI80" s="98"/>
      <c r="AJ80" s="99"/>
      <c r="AK80" s="98"/>
      <c r="AL80" s="99"/>
      <c r="AM80" s="98"/>
      <c r="AN80" s="99"/>
      <c r="AO80" s="98"/>
      <c r="AP80" s="99"/>
      <c r="AQ80" s="99"/>
      <c r="AR80" s="99"/>
      <c r="AS80" s="98"/>
      <c r="AT80" s="99"/>
      <c r="AU80" s="98"/>
      <c r="AV80" s="99"/>
      <c r="AW80" s="98"/>
      <c r="AX80" s="99"/>
      <c r="AY80" s="99"/>
      <c r="AZ80" s="99"/>
      <c r="BA80" s="99"/>
      <c r="BB80" s="99"/>
      <c r="BD80" s="99"/>
      <c r="BF80" s="99"/>
      <c r="BH80" s="99"/>
      <c r="BJ80" s="99"/>
    </row>
    <row r="81" spans="1:63" ht="17.25" customHeight="1">
      <c r="A81" s="108"/>
      <c r="B81" s="109"/>
      <c r="C81" s="108"/>
      <c r="D81" s="110"/>
      <c r="E81" s="110"/>
      <c r="F81" s="110"/>
      <c r="G81" s="110"/>
      <c r="H81" s="110"/>
      <c r="I81" s="110"/>
      <c r="J81" s="110"/>
      <c r="K81" s="110"/>
      <c r="L81" s="110"/>
      <c r="M81" s="110"/>
      <c r="N81" s="110"/>
      <c r="O81" s="110"/>
      <c r="P81" s="110"/>
      <c r="Q81" s="110"/>
      <c r="R81" s="110"/>
      <c r="S81" s="108"/>
      <c r="T81" s="110"/>
      <c r="U81" s="108"/>
      <c r="V81" s="110"/>
      <c r="W81" s="110"/>
      <c r="X81" s="99"/>
      <c r="Y81" s="98"/>
      <c r="Z81" s="99"/>
      <c r="AA81" s="98"/>
      <c r="AB81" s="99"/>
      <c r="AC81" s="98"/>
      <c r="AD81" s="99"/>
      <c r="AE81" s="98"/>
      <c r="AF81" s="99"/>
      <c r="AG81" s="98"/>
      <c r="AH81" s="99"/>
      <c r="AI81" s="98"/>
      <c r="AJ81" s="99"/>
      <c r="AK81" s="98"/>
      <c r="AL81" s="99"/>
      <c r="AM81" s="98"/>
      <c r="AN81" s="99"/>
      <c r="AO81" s="98"/>
      <c r="AP81" s="99"/>
      <c r="AQ81" s="99"/>
      <c r="AR81" s="99"/>
      <c r="AS81" s="98"/>
      <c r="AT81" s="99"/>
      <c r="AU81" s="98"/>
      <c r="AV81" s="99"/>
      <c r="AW81" s="98"/>
      <c r="AX81" s="99"/>
      <c r="AY81" s="99"/>
      <c r="AZ81" s="99"/>
      <c r="BA81" s="99"/>
      <c r="BB81" s="99"/>
      <c r="BD81" s="99"/>
      <c r="BF81" s="99"/>
      <c r="BH81" s="99"/>
      <c r="BJ81" s="99"/>
    </row>
    <row r="82" spans="1:63" ht="17.25" customHeight="1">
      <c r="A82" s="108"/>
      <c r="B82" s="109"/>
      <c r="C82" s="108"/>
      <c r="D82" s="110"/>
      <c r="E82" s="110"/>
      <c r="F82" s="110"/>
      <c r="G82" s="110"/>
      <c r="H82" s="110"/>
      <c r="I82" s="110"/>
      <c r="J82" s="110"/>
      <c r="K82" s="110"/>
      <c r="L82" s="110"/>
      <c r="M82" s="110"/>
      <c r="N82" s="110"/>
      <c r="O82" s="110"/>
      <c r="P82" s="110"/>
      <c r="Q82" s="110"/>
      <c r="R82" s="110"/>
      <c r="S82" s="108"/>
      <c r="T82" s="110"/>
      <c r="U82" s="108"/>
      <c r="V82" s="110"/>
      <c r="W82" s="110"/>
      <c r="X82" s="99"/>
      <c r="Y82" s="98"/>
      <c r="Z82" s="99"/>
      <c r="AA82" s="98"/>
      <c r="AB82" s="99"/>
      <c r="AC82" s="98"/>
      <c r="AD82" s="99"/>
      <c r="AE82" s="98"/>
      <c r="AF82" s="99"/>
      <c r="AG82" s="98"/>
      <c r="AH82" s="99"/>
      <c r="AI82" s="98"/>
      <c r="AJ82" s="99"/>
      <c r="AK82" s="98"/>
      <c r="AL82" s="99"/>
      <c r="AM82" s="98"/>
      <c r="AN82" s="99"/>
      <c r="AO82" s="98"/>
      <c r="AP82" s="99"/>
      <c r="AQ82" s="99"/>
      <c r="AR82" s="99"/>
      <c r="AS82" s="98"/>
      <c r="AT82" s="99"/>
      <c r="AU82" s="98"/>
      <c r="AV82" s="99"/>
      <c r="AW82" s="98"/>
      <c r="AX82" s="99"/>
      <c r="AY82" s="99"/>
      <c r="AZ82" s="99"/>
      <c r="BA82" s="99"/>
      <c r="BB82" s="99"/>
      <c r="BD82" s="99"/>
      <c r="BF82" s="99"/>
      <c r="BH82" s="99"/>
      <c r="BJ82" s="99"/>
    </row>
    <row r="83" spans="1:63" ht="16.5" customHeight="1">
      <c r="A83" s="108"/>
      <c r="B83" s="109"/>
      <c r="C83" s="108"/>
      <c r="D83" s="110"/>
      <c r="E83" s="110"/>
      <c r="F83" s="110"/>
      <c r="G83" s="110"/>
      <c r="H83" s="110"/>
      <c r="I83" s="110"/>
      <c r="J83" s="110"/>
      <c r="K83" s="110"/>
      <c r="L83" s="110"/>
      <c r="M83" s="110"/>
      <c r="N83" s="110"/>
      <c r="O83" s="110"/>
      <c r="P83" s="110"/>
      <c r="Q83" s="110"/>
      <c r="R83" s="110"/>
      <c r="S83" s="108"/>
      <c r="T83" s="110"/>
      <c r="U83" s="108"/>
      <c r="V83" s="110"/>
      <c r="W83" s="110"/>
      <c r="X83" s="99"/>
      <c r="Y83" s="98"/>
      <c r="Z83" s="99"/>
      <c r="AA83" s="98"/>
      <c r="AB83" s="99"/>
      <c r="AC83" s="98"/>
      <c r="AD83" s="99"/>
      <c r="AE83" s="98"/>
      <c r="AF83" s="99"/>
      <c r="AG83" s="98"/>
      <c r="AH83" s="99"/>
      <c r="AI83" s="98"/>
      <c r="AJ83" s="99"/>
      <c r="AK83" s="98"/>
      <c r="AL83" s="99"/>
      <c r="AM83" s="98"/>
      <c r="AN83" s="99"/>
      <c r="AO83" s="98"/>
      <c r="AP83" s="99"/>
      <c r="AQ83" s="99"/>
      <c r="AR83" s="99"/>
      <c r="AS83" s="98"/>
      <c r="AT83" s="99"/>
      <c r="AU83" s="98"/>
      <c r="AV83" s="99"/>
      <c r="AW83" s="98"/>
      <c r="AX83" s="99"/>
      <c r="AY83" s="99"/>
      <c r="AZ83" s="99"/>
      <c r="BA83" s="99"/>
      <c r="BB83" s="99"/>
      <c r="BD83" s="99"/>
      <c r="BF83" s="99"/>
      <c r="BH83" s="99"/>
      <c r="BJ83" s="99"/>
    </row>
    <row r="84" spans="1:63" ht="30.75" customHeight="1">
      <c r="A84" s="108"/>
      <c r="B84" s="109"/>
      <c r="C84" s="108"/>
      <c r="D84" s="110"/>
      <c r="E84" s="110"/>
      <c r="F84" s="110"/>
      <c r="G84" s="110"/>
      <c r="H84" s="110"/>
      <c r="I84" s="110"/>
      <c r="J84" s="110"/>
      <c r="K84" s="110"/>
      <c r="L84" s="110"/>
      <c r="M84" s="110"/>
      <c r="N84" s="110"/>
      <c r="O84" s="110"/>
      <c r="P84" s="110"/>
      <c r="Q84" s="110"/>
      <c r="R84" s="110"/>
      <c r="S84" s="108"/>
      <c r="T84" s="110"/>
      <c r="U84" s="108"/>
      <c r="V84" s="110"/>
      <c r="W84" s="110"/>
      <c r="X84" s="99"/>
      <c r="Y84" s="98"/>
      <c r="Z84" s="99"/>
      <c r="AA84" s="98"/>
      <c r="AB84" s="99"/>
      <c r="AC84" s="98"/>
      <c r="AD84" s="99"/>
      <c r="AE84" s="98"/>
      <c r="AF84" s="99"/>
      <c r="AG84" s="98"/>
      <c r="AH84" s="99"/>
      <c r="AI84" s="98"/>
      <c r="AJ84" s="99"/>
      <c r="AK84" s="98"/>
      <c r="AL84" s="99"/>
      <c r="AM84" s="98"/>
      <c r="AN84" s="99"/>
      <c r="AO84" s="98"/>
      <c r="AP84" s="99"/>
      <c r="AQ84" s="99"/>
      <c r="AR84" s="99"/>
      <c r="AS84" s="98"/>
      <c r="AT84" s="99"/>
      <c r="AU84" s="98"/>
      <c r="AV84" s="99"/>
      <c r="AW84" s="98"/>
      <c r="AX84" s="99"/>
      <c r="AY84" s="99"/>
      <c r="AZ84" s="99"/>
      <c r="BA84" s="99"/>
      <c r="BB84" s="99"/>
      <c r="BD84" s="99"/>
      <c r="BF84" s="99"/>
      <c r="BH84" s="99"/>
      <c r="BJ84" s="99"/>
    </row>
    <row r="85" spans="1:63" s="94" customFormat="1" ht="14.25" customHeight="1">
      <c r="A85" s="325" t="s">
        <v>111</v>
      </c>
      <c r="B85" s="325"/>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5"/>
      <c r="AY85" s="325"/>
      <c r="AZ85" s="325"/>
      <c r="BA85" s="325"/>
      <c r="BB85" s="325"/>
      <c r="BC85" s="325"/>
      <c r="BD85" s="325"/>
      <c r="BE85" s="325"/>
      <c r="BF85" s="325"/>
      <c r="BG85" s="325"/>
      <c r="BH85" s="325"/>
      <c r="BI85" s="325"/>
      <c r="BJ85" s="325"/>
      <c r="BK85"/>
    </row>
    <row r="86" spans="1:63" s="289" customFormat="1" ht="15.75" customHeight="1">
      <c r="A86" s="322" t="s">
        <v>112</v>
      </c>
      <c r="B86" s="322"/>
      <c r="C86" s="322"/>
      <c r="D86" s="322"/>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22"/>
      <c r="BI86" s="322"/>
      <c r="BJ86" s="322"/>
      <c r="BK86" s="275"/>
    </row>
    <row r="87" spans="1:63" ht="5.25" customHeight="1">
      <c r="AW87" s="1"/>
      <c r="AX87" s="10"/>
      <c r="AY87" s="10"/>
      <c r="AZ87" s="10"/>
      <c r="BA87" s="10"/>
      <c r="BB87" s="10"/>
      <c r="BD87" s="10"/>
      <c r="BF87" s="10"/>
      <c r="BH87" s="10"/>
      <c r="BJ87" s="10"/>
    </row>
    <row r="88" spans="1:63" s="94" customFormat="1" ht="5.25" customHeight="1">
      <c r="AX88" s="107"/>
      <c r="AY88" s="107"/>
      <c r="AZ88" s="107"/>
      <c r="BA88" s="107"/>
      <c r="BB88" s="107"/>
      <c r="BC88"/>
      <c r="BD88" s="107"/>
      <c r="BE88"/>
      <c r="BF88" s="107"/>
      <c r="BG88"/>
      <c r="BH88" s="107"/>
      <c r="BI88"/>
      <c r="BJ88" s="107"/>
      <c r="BK88"/>
    </row>
    <row r="89" spans="1:63" ht="13.2">
      <c r="A89" s="320" t="s">
        <v>106</v>
      </c>
      <c r="B89" s="320"/>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320"/>
      <c r="BD89" s="320"/>
      <c r="BF89" s="17"/>
      <c r="BH89" s="17"/>
      <c r="BJ89" s="17"/>
    </row>
    <row r="90" spans="1:63" ht="13.2">
      <c r="A90" s="320" t="s">
        <v>123</v>
      </c>
      <c r="B90" s="320"/>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O90" s="320"/>
      <c r="AP90" s="320"/>
      <c r="AQ90" s="320"/>
      <c r="AR90" s="320"/>
      <c r="AS90" s="320"/>
      <c r="AT90" s="320"/>
      <c r="AU90" s="94"/>
      <c r="AV90" s="107"/>
      <c r="AW90" s="15"/>
      <c r="AX90" s="15"/>
      <c r="AY90" s="15"/>
      <c r="AZ90" s="15"/>
      <c r="BA90" s="15"/>
      <c r="BB90" s="15"/>
      <c r="BD90" s="15"/>
      <c r="BF90" s="15"/>
      <c r="BH90" s="15"/>
      <c r="BJ90" s="15"/>
    </row>
    <row r="91" spans="1:63" ht="19.5" customHeight="1">
      <c r="A91" s="320"/>
      <c r="B91" s="320"/>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1"/>
      <c r="AV91" s="10"/>
      <c r="AW91" s="1"/>
      <c r="AX91" s="10"/>
      <c r="AY91" s="10"/>
      <c r="AZ91" s="10"/>
      <c r="BA91" s="10"/>
      <c r="BB91" s="10"/>
      <c r="BD91" s="10"/>
      <c r="BF91" s="10"/>
      <c r="BH91" s="10"/>
      <c r="BJ91" s="10"/>
    </row>
    <row r="92" spans="1:63" s="94" customFormat="1" ht="19.5" customHeight="1">
      <c r="A92" s="319"/>
      <c r="B92" s="319"/>
      <c r="C92" s="319"/>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19"/>
      <c r="AI92" s="319"/>
      <c r="AJ92" s="319"/>
      <c r="AK92" s="319"/>
      <c r="AL92" s="319"/>
      <c r="AM92" s="319"/>
      <c r="AN92" s="319"/>
      <c r="AO92" s="319"/>
      <c r="AP92" s="319"/>
      <c r="AQ92" s="319"/>
      <c r="AR92" s="319"/>
      <c r="AS92" s="319"/>
      <c r="AT92" s="319"/>
      <c r="AV92" s="107"/>
      <c r="AX92" s="107"/>
      <c r="AY92" s="107"/>
      <c r="AZ92" s="107"/>
      <c r="BA92" s="107"/>
      <c r="BB92" s="107"/>
      <c r="BC92"/>
      <c r="BD92" s="107"/>
      <c r="BE92"/>
      <c r="BF92" s="107"/>
      <c r="BG92"/>
      <c r="BH92" s="107"/>
      <c r="BI92"/>
      <c r="BJ92" s="107"/>
      <c r="BK92"/>
    </row>
    <row r="93" spans="1:63" ht="17.25" customHeight="1">
      <c r="A93" s="108"/>
      <c r="B93" s="109"/>
      <c r="C93" s="108"/>
      <c r="D93" s="110"/>
      <c r="E93" s="110"/>
      <c r="F93" s="110"/>
      <c r="G93" s="110"/>
      <c r="H93" s="110"/>
      <c r="I93" s="110"/>
      <c r="J93" s="110"/>
      <c r="K93" s="110"/>
      <c r="L93" s="110"/>
      <c r="M93" s="110"/>
      <c r="N93" s="110"/>
      <c r="O93" s="110"/>
      <c r="P93" s="110"/>
      <c r="Q93" s="110"/>
      <c r="R93" s="110"/>
      <c r="S93" s="108"/>
      <c r="T93" s="110"/>
      <c r="U93" s="108"/>
      <c r="V93" s="110"/>
      <c r="W93" s="110"/>
      <c r="X93" s="99"/>
      <c r="Y93" s="98"/>
      <c r="Z93" s="99"/>
      <c r="AA93" s="98"/>
      <c r="AB93" s="99"/>
      <c r="AC93" s="98"/>
      <c r="AD93" s="99"/>
      <c r="AE93" s="98"/>
      <c r="AF93" s="99"/>
      <c r="AG93" s="98"/>
      <c r="AH93" s="99"/>
      <c r="AI93" s="98"/>
      <c r="AJ93" s="99"/>
      <c r="AK93" s="98"/>
      <c r="AL93" s="99"/>
      <c r="AM93" s="98"/>
      <c r="AN93" s="99"/>
      <c r="AO93" s="98"/>
      <c r="AP93" s="99"/>
      <c r="AQ93" s="99"/>
      <c r="AR93" s="99"/>
      <c r="AS93" s="98"/>
      <c r="AT93" s="99"/>
      <c r="AU93" s="98"/>
      <c r="AV93" s="99"/>
      <c r="AW93" s="98"/>
      <c r="AX93" s="99"/>
      <c r="AY93" s="99"/>
      <c r="AZ93" s="99"/>
      <c r="BA93" s="99"/>
      <c r="BB93" s="99"/>
      <c r="BD93" s="99"/>
      <c r="BF93" s="99"/>
      <c r="BH93" s="99"/>
      <c r="BJ93" s="99"/>
    </row>
    <row r="94" spans="1:63" ht="30.75" customHeight="1">
      <c r="A94" s="18"/>
      <c r="B94" s="18"/>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D94" s="15"/>
      <c r="BF94" s="15"/>
      <c r="BH94" s="15"/>
      <c r="BJ94" s="15"/>
    </row>
    <row r="95" spans="1:63" ht="30.75" customHeight="1">
      <c r="A95" s="18"/>
      <c r="B95" s="18"/>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D95" s="15"/>
      <c r="BF95" s="15"/>
      <c r="BH95" s="15"/>
      <c r="BJ95" s="15"/>
    </row>
    <row r="96" spans="1:63" ht="13.2">
      <c r="A96" s="18"/>
      <c r="B96" s="18"/>
      <c r="C96" s="19"/>
      <c r="D96" s="19"/>
      <c r="E96" s="19"/>
      <c r="F96" s="19"/>
      <c r="G96" s="19"/>
      <c r="H96" s="19"/>
      <c r="I96" s="19"/>
      <c r="J96" s="19"/>
      <c r="K96" s="19"/>
      <c r="L96" s="19"/>
      <c r="M96" s="19"/>
      <c r="N96" s="19"/>
      <c r="O96" s="19"/>
      <c r="P96" s="19"/>
      <c r="Q96" s="19"/>
      <c r="R96" s="19"/>
      <c r="S96" s="15"/>
      <c r="T96" s="19"/>
      <c r="U96" s="15"/>
      <c r="V96" s="19"/>
      <c r="W96" s="19"/>
      <c r="X96" s="19"/>
      <c r="Y96" s="15"/>
      <c r="Z96" s="19"/>
      <c r="AA96" s="15"/>
      <c r="AB96" s="19"/>
      <c r="AC96" s="15"/>
      <c r="AD96" s="19"/>
      <c r="AE96" s="15"/>
      <c r="AF96" s="19"/>
      <c r="AG96" s="15"/>
      <c r="AH96" s="19"/>
      <c r="AI96" s="15"/>
      <c r="AJ96" s="19"/>
      <c r="AK96" s="15"/>
      <c r="AL96" s="19"/>
      <c r="AM96" s="15"/>
      <c r="AN96" s="19"/>
      <c r="AO96" s="15"/>
      <c r="AP96" s="19"/>
      <c r="AQ96" s="19"/>
      <c r="AR96" s="19"/>
      <c r="AS96" s="15"/>
      <c r="AT96" s="19"/>
      <c r="AU96" s="15"/>
      <c r="AV96" s="19"/>
      <c r="AW96" s="15"/>
      <c r="AX96" s="19"/>
      <c r="AY96" s="19"/>
      <c r="AZ96" s="19"/>
      <c r="BA96" s="19"/>
      <c r="BB96" s="19"/>
      <c r="BD96" s="19"/>
      <c r="BF96" s="19"/>
      <c r="BH96" s="19"/>
      <c r="BJ96" s="19"/>
    </row>
    <row r="97" ht="39" customHeight="1"/>
    <row r="102" ht="27" customHeight="1"/>
    <row r="103" ht="27" customHeight="1"/>
    <row r="104" ht="27" customHeight="1"/>
    <row r="105" ht="7.5" customHeight="1"/>
    <row r="106" ht="7.5" customHeight="1"/>
    <row r="107" ht="27" customHeight="1"/>
  </sheetData>
  <mergeCells count="23">
    <mergeCell ref="A2:BJ2"/>
    <mergeCell ref="A3:BJ3"/>
    <mergeCell ref="A91:AT91"/>
    <mergeCell ref="A6:C6"/>
    <mergeCell ref="A11:C11"/>
    <mergeCell ref="A16:C16"/>
    <mergeCell ref="A24:C24"/>
    <mergeCell ref="A32:C32"/>
    <mergeCell ref="A37:C37"/>
    <mergeCell ref="A42:C42"/>
    <mergeCell ref="A53:BJ53"/>
    <mergeCell ref="A89:BD89"/>
    <mergeCell ref="A92:AT92"/>
    <mergeCell ref="A54:AT54"/>
    <mergeCell ref="A48:BJ48"/>
    <mergeCell ref="A49:BJ49"/>
    <mergeCell ref="A50:BJ50"/>
    <mergeCell ref="A51:BJ51"/>
    <mergeCell ref="A90:AT90"/>
    <mergeCell ref="A58:AY58"/>
    <mergeCell ref="A57:BJ57"/>
    <mergeCell ref="A85:BJ85"/>
    <mergeCell ref="A86:BJ86"/>
  </mergeCells>
  <phoneticPr fontId="0" type="noConversion"/>
  <printOptions horizontalCentered="1"/>
  <pageMargins left="0.4" right="0.4" top="0.34" bottom="0.25" header="0.3" footer="0.3"/>
  <pageSetup orientation="landscape" r:id="rId1"/>
  <headerFooter alignWithMargins="0"/>
  <rowBreaks count="1" manualBreakCount="1">
    <brk id="55" max="6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8"/>
  <sheetViews>
    <sheetView view="pageBreakPreview" zoomScale="140" zoomScaleNormal="100" zoomScaleSheetLayoutView="140" workbookViewId="0">
      <selection activeCell="I10" sqref="I10"/>
    </sheetView>
  </sheetViews>
  <sheetFormatPr defaultRowHeight="12.75" customHeight="1"/>
  <cols>
    <col min="1" max="1" width="0.33203125" customWidth="1"/>
    <col min="2" max="2" width="15.33203125" customWidth="1"/>
    <col min="3" max="3" width="11.44140625" customWidth="1"/>
    <col min="4" max="5" width="9.44140625" customWidth="1"/>
    <col min="6" max="6" width="10.6640625" customWidth="1"/>
    <col min="7" max="7" width="9" customWidth="1"/>
    <col min="8" max="8" width="9.44140625" customWidth="1"/>
    <col min="9" max="9" width="10.6640625" customWidth="1"/>
    <col min="10" max="10" width="8.6640625" customWidth="1"/>
    <col min="11" max="11" width="9.44140625" customWidth="1"/>
  </cols>
  <sheetData>
    <row r="1" spans="2:11" ht="12.75" customHeight="1">
      <c r="B1" s="22" t="s">
        <v>122</v>
      </c>
      <c r="C1" s="332" t="s">
        <v>2</v>
      </c>
      <c r="D1" s="332"/>
      <c r="E1" s="333"/>
      <c r="F1" s="334" t="s">
        <v>3</v>
      </c>
      <c r="G1" s="335"/>
      <c r="H1" s="336"/>
      <c r="I1" s="330" t="s">
        <v>4</v>
      </c>
      <c r="J1" s="331"/>
      <c r="K1" s="331"/>
    </row>
    <row r="2" spans="2:11" ht="12.75" customHeight="1">
      <c r="B2" s="94"/>
      <c r="C2" s="148" t="s">
        <v>5</v>
      </c>
      <c r="D2" s="149" t="s">
        <v>6</v>
      </c>
      <c r="E2" s="153" t="s">
        <v>7</v>
      </c>
      <c r="F2" s="150" t="s">
        <v>5</v>
      </c>
      <c r="G2" s="151" t="s">
        <v>6</v>
      </c>
      <c r="H2" s="154" t="s">
        <v>8</v>
      </c>
      <c r="I2" s="152" t="s">
        <v>5</v>
      </c>
      <c r="J2" s="152" t="s">
        <v>6</v>
      </c>
      <c r="K2" s="155" t="s">
        <v>8</v>
      </c>
    </row>
    <row r="3" spans="2:11" ht="12.75" customHeight="1">
      <c r="B3" s="47" t="s">
        <v>9</v>
      </c>
      <c r="C3" s="112">
        <f>15543+1986</f>
        <v>17529</v>
      </c>
      <c r="D3" s="113">
        <f>495+46</f>
        <v>541</v>
      </c>
      <c r="E3" s="50">
        <f>C3/D3</f>
        <v>32.401109057301291</v>
      </c>
      <c r="F3" s="119">
        <f>570+186</f>
        <v>756</v>
      </c>
      <c r="G3" s="120">
        <v>101</v>
      </c>
      <c r="H3" s="51">
        <f t="shared" ref="H3:H8" si="0">F3/G3</f>
        <v>7.4851485148514856</v>
      </c>
      <c r="I3" s="135">
        <f t="shared" ref="I3:I8" si="1">C3+F3</f>
        <v>18285</v>
      </c>
      <c r="J3" s="135">
        <f>D3+G3</f>
        <v>642</v>
      </c>
      <c r="K3" s="53">
        <f>I3/J3</f>
        <v>28.481308411214954</v>
      </c>
    </row>
    <row r="4" spans="2:11" ht="12.75" customHeight="1">
      <c r="B4" s="55" t="s">
        <v>10</v>
      </c>
      <c r="C4" s="114">
        <v>13704</v>
      </c>
      <c r="D4" s="115">
        <v>279</v>
      </c>
      <c r="E4" s="58">
        <f t="shared" ref="E4:E8" si="2">C4/D4</f>
        <v>49.118279569892472</v>
      </c>
      <c r="F4" s="121">
        <v>1086</v>
      </c>
      <c r="G4" s="122">
        <v>61</v>
      </c>
      <c r="H4" s="59">
        <f t="shared" si="0"/>
        <v>17.803278688524589</v>
      </c>
      <c r="I4" s="136">
        <f t="shared" si="1"/>
        <v>14790</v>
      </c>
      <c r="J4" s="136">
        <f t="shared" ref="J4:J8" si="3">D4+G4</f>
        <v>340</v>
      </c>
      <c r="K4" s="61">
        <f t="shared" ref="K4:K8" si="4">I4/J4</f>
        <v>43.5</v>
      </c>
    </row>
    <row r="5" spans="2:11" ht="12.75" customHeight="1">
      <c r="B5" s="55" t="s">
        <v>11</v>
      </c>
      <c r="C5" s="114">
        <v>8426</v>
      </c>
      <c r="D5" s="115">
        <v>285</v>
      </c>
      <c r="E5" s="58">
        <f t="shared" si="2"/>
        <v>29.564912280701755</v>
      </c>
      <c r="F5" s="121">
        <v>746</v>
      </c>
      <c r="G5" s="122">
        <v>81</v>
      </c>
      <c r="H5" s="59">
        <f t="shared" si="0"/>
        <v>9.2098765432098766</v>
      </c>
      <c r="I5" s="136">
        <f t="shared" si="1"/>
        <v>9172</v>
      </c>
      <c r="J5" s="136">
        <f t="shared" si="3"/>
        <v>366</v>
      </c>
      <c r="K5" s="61">
        <f t="shared" si="4"/>
        <v>25.060109289617486</v>
      </c>
    </row>
    <row r="6" spans="2:11" ht="12.75" customHeight="1">
      <c r="B6" s="55" t="s">
        <v>12</v>
      </c>
      <c r="C6" s="114">
        <v>23535</v>
      </c>
      <c r="D6" s="115">
        <v>668</v>
      </c>
      <c r="E6" s="58">
        <f t="shared" si="2"/>
        <v>35.232035928143709</v>
      </c>
      <c r="F6" s="121">
        <v>1797</v>
      </c>
      <c r="G6" s="122">
        <v>156</v>
      </c>
      <c r="H6" s="59">
        <f t="shared" si="0"/>
        <v>11.51923076923077</v>
      </c>
      <c r="I6" s="136">
        <f t="shared" si="1"/>
        <v>25332</v>
      </c>
      <c r="J6" s="136">
        <f t="shared" si="3"/>
        <v>824</v>
      </c>
      <c r="K6" s="61">
        <f t="shared" si="4"/>
        <v>30.742718446601941</v>
      </c>
    </row>
    <row r="7" spans="2:11" ht="12.75" customHeight="1">
      <c r="B7" s="55" t="s">
        <v>21</v>
      </c>
      <c r="C7" s="114">
        <f>14352+1377</f>
        <v>15729</v>
      </c>
      <c r="D7" s="115">
        <f>419+32</f>
        <v>451</v>
      </c>
      <c r="E7" s="58">
        <f t="shared" si="2"/>
        <v>34.875831485587582</v>
      </c>
      <c r="F7" s="121">
        <f>849+109</f>
        <v>958</v>
      </c>
      <c r="G7" s="122">
        <v>117</v>
      </c>
      <c r="H7" s="59">
        <f t="shared" si="0"/>
        <v>8.1880341880341874</v>
      </c>
      <c r="I7" s="136">
        <f t="shared" si="1"/>
        <v>16687</v>
      </c>
      <c r="J7" s="136">
        <f t="shared" si="3"/>
        <v>568</v>
      </c>
      <c r="K7" s="61">
        <f t="shared" si="4"/>
        <v>29.378521126760564</v>
      </c>
    </row>
    <row r="8" spans="2:11" ht="12.75" customHeight="1">
      <c r="B8" s="55" t="s">
        <v>13</v>
      </c>
      <c r="C8" s="114">
        <f>337+67650+5188</f>
        <v>73175</v>
      </c>
      <c r="D8" s="115">
        <f>29+1903+64</f>
        <v>1996</v>
      </c>
      <c r="E8" s="58">
        <f t="shared" si="2"/>
        <v>36.660821643286575</v>
      </c>
      <c r="F8" s="121">
        <f>2335+416</f>
        <v>2751</v>
      </c>
      <c r="G8" s="122">
        <f>164+32</f>
        <v>196</v>
      </c>
      <c r="H8" s="59">
        <f t="shared" si="0"/>
        <v>14.035714285714286</v>
      </c>
      <c r="I8" s="136">
        <f t="shared" si="1"/>
        <v>75926</v>
      </c>
      <c r="J8" s="136">
        <f t="shared" si="3"/>
        <v>2192</v>
      </c>
      <c r="K8" s="61">
        <f t="shared" si="4"/>
        <v>34.637773722627735</v>
      </c>
    </row>
    <row r="9" spans="2:11" ht="12.75" customHeight="1">
      <c r="B9" s="63"/>
      <c r="C9" s="116"/>
      <c r="D9" s="117"/>
      <c r="E9" s="66"/>
      <c r="F9" s="123"/>
      <c r="G9" s="124"/>
      <c r="H9" s="67"/>
      <c r="I9" s="137"/>
      <c r="J9" s="137"/>
      <c r="K9" s="69"/>
    </row>
    <row r="10" spans="2:11" ht="12.75" customHeight="1">
      <c r="B10" s="140" t="s">
        <v>81</v>
      </c>
      <c r="C10" s="141">
        <f>166479+337</f>
        <v>166816</v>
      </c>
      <c r="D10" s="141">
        <v>4529</v>
      </c>
      <c r="E10" s="143">
        <f>C10/D10</f>
        <v>36.832854934864208</v>
      </c>
      <c r="F10" s="141">
        <v>8591</v>
      </c>
      <c r="G10" s="141">
        <v>755</v>
      </c>
      <c r="H10" s="144">
        <f>F10/G10</f>
        <v>11.378807947019867</v>
      </c>
      <c r="I10" s="145">
        <f>C10+F10</f>
        <v>175407</v>
      </c>
      <c r="J10" s="145">
        <f>D10+G10</f>
        <v>5284</v>
      </c>
      <c r="K10" s="146">
        <f>I10/J10</f>
        <v>33.19587433762301</v>
      </c>
    </row>
    <row r="11" spans="2:11" ht="12.75" customHeight="1">
      <c r="B11" s="202" t="s">
        <v>78</v>
      </c>
      <c r="C11" s="205"/>
      <c r="D11" s="141"/>
      <c r="E11" s="143"/>
      <c r="F11" s="141"/>
      <c r="G11" s="141"/>
      <c r="H11" s="144"/>
      <c r="I11" s="145"/>
      <c r="J11" s="145"/>
      <c r="K11" s="146"/>
    </row>
    <row r="12" spans="2:11" ht="12.75" customHeight="1">
      <c r="B12" s="140" t="s">
        <v>79</v>
      </c>
      <c r="C12" s="141">
        <f>SUM(C3:C8)</f>
        <v>152098</v>
      </c>
      <c r="D12" s="141">
        <f>SUM(D3:D8)</f>
        <v>4220</v>
      </c>
      <c r="E12" s="143"/>
      <c r="F12" s="141">
        <f>SUM(F3:F8)</f>
        <v>8094</v>
      </c>
      <c r="G12" s="141">
        <f>SUM(G3:G8)</f>
        <v>712</v>
      </c>
      <c r="H12" s="144"/>
      <c r="I12" s="145">
        <f>C12+F12</f>
        <v>160192</v>
      </c>
      <c r="J12" s="145">
        <f>D12+G12</f>
        <v>4932</v>
      </c>
      <c r="K12" s="146"/>
    </row>
    <row r="13" spans="2:11" ht="12.75" customHeight="1">
      <c r="B13" s="206" t="s">
        <v>80</v>
      </c>
      <c r="C13" s="118"/>
      <c r="D13" s="118"/>
      <c r="F13" s="125"/>
      <c r="G13" s="125"/>
      <c r="I13" s="200"/>
      <c r="J13" s="200"/>
    </row>
    <row r="14" spans="2:11" ht="5.4" customHeight="1">
      <c r="B14" s="207"/>
      <c r="C14" s="208"/>
      <c r="D14" s="208"/>
      <c r="E14" s="207"/>
      <c r="F14" s="209"/>
      <c r="G14" s="209"/>
      <c r="H14" s="207"/>
      <c r="I14" s="209"/>
      <c r="J14" s="209"/>
      <c r="K14" s="207"/>
    </row>
    <row r="15" spans="2:11" ht="5.4" customHeight="1">
      <c r="C15" s="118"/>
      <c r="D15" s="118"/>
      <c r="F15" s="125"/>
      <c r="G15" s="125"/>
      <c r="I15" s="125"/>
      <c r="J15" s="125"/>
    </row>
    <row r="16" spans="2:11" ht="12.75" customHeight="1">
      <c r="B16" s="22" t="s">
        <v>122</v>
      </c>
      <c r="C16" s="332" t="s">
        <v>75</v>
      </c>
      <c r="D16" s="332"/>
      <c r="E16" s="333"/>
      <c r="F16" s="337" t="s">
        <v>76</v>
      </c>
      <c r="G16" s="332"/>
      <c r="H16" s="333"/>
      <c r="I16" s="338" t="s">
        <v>77</v>
      </c>
      <c r="J16" s="339"/>
      <c r="K16" s="339"/>
    </row>
    <row r="17" spans="2:11" ht="12.75" customHeight="1">
      <c r="B17" s="94"/>
      <c r="C17" s="148" t="s">
        <v>5</v>
      </c>
      <c r="D17" s="149" t="s">
        <v>6</v>
      </c>
      <c r="E17" s="153" t="s">
        <v>7</v>
      </c>
      <c r="F17" s="150" t="s">
        <v>5</v>
      </c>
      <c r="G17" s="151" t="s">
        <v>6</v>
      </c>
      <c r="H17" s="154" t="s">
        <v>8</v>
      </c>
      <c r="I17" s="152" t="s">
        <v>5</v>
      </c>
      <c r="J17" s="152" t="s">
        <v>6</v>
      </c>
      <c r="K17" s="155" t="s">
        <v>8</v>
      </c>
    </row>
    <row r="18" spans="2:11" ht="12.75" customHeight="1">
      <c r="B18" s="177" t="s">
        <v>9</v>
      </c>
      <c r="C18" s="112">
        <f>7679+1184</f>
        <v>8863</v>
      </c>
      <c r="D18" s="113">
        <v>211</v>
      </c>
      <c r="E18" s="178">
        <f t="shared" ref="E18:E23" si="5">C18/D18</f>
        <v>42.004739336492889</v>
      </c>
      <c r="F18" s="112">
        <f>7864+802</f>
        <v>8666</v>
      </c>
      <c r="G18" s="113">
        <v>330</v>
      </c>
      <c r="H18" s="179">
        <f t="shared" ref="H18:H23" si="6">F18/G18</f>
        <v>26.260606060606062</v>
      </c>
      <c r="I18" s="180">
        <f t="shared" ref="I18:I23" si="7">C18+F18</f>
        <v>17529</v>
      </c>
      <c r="J18" s="180">
        <f t="shared" ref="J18:J23" si="8">D18+G18</f>
        <v>541</v>
      </c>
      <c r="K18" s="181">
        <f t="shared" ref="K18:K23" si="9">I18/J18</f>
        <v>32.401109057301291</v>
      </c>
    </row>
    <row r="19" spans="2:11" ht="12.75" customHeight="1">
      <c r="B19" s="182" t="s">
        <v>10</v>
      </c>
      <c r="C19" s="114">
        <v>3919</v>
      </c>
      <c r="D19" s="115">
        <v>49</v>
      </c>
      <c r="E19" s="183">
        <f t="shared" si="5"/>
        <v>79.979591836734699</v>
      </c>
      <c r="F19" s="114">
        <v>9785</v>
      </c>
      <c r="G19" s="115">
        <v>230</v>
      </c>
      <c r="H19" s="184">
        <f t="shared" si="6"/>
        <v>42.543478260869563</v>
      </c>
      <c r="I19" s="185">
        <f t="shared" si="7"/>
        <v>13704</v>
      </c>
      <c r="J19" s="185">
        <f t="shared" si="8"/>
        <v>279</v>
      </c>
      <c r="K19" s="186">
        <f t="shared" si="9"/>
        <v>49.118279569892472</v>
      </c>
    </row>
    <row r="20" spans="2:11" ht="12.75" customHeight="1">
      <c r="B20" s="182" t="s">
        <v>11</v>
      </c>
      <c r="C20" s="114">
        <v>4953</v>
      </c>
      <c r="D20" s="115">
        <v>144</v>
      </c>
      <c r="E20" s="183">
        <f t="shared" si="5"/>
        <v>34.395833333333336</v>
      </c>
      <c r="F20" s="114">
        <v>3473</v>
      </c>
      <c r="G20" s="115">
        <v>141</v>
      </c>
      <c r="H20" s="184">
        <f t="shared" si="6"/>
        <v>24.631205673758867</v>
      </c>
      <c r="I20" s="185">
        <f t="shared" si="7"/>
        <v>8426</v>
      </c>
      <c r="J20" s="185">
        <f t="shared" si="8"/>
        <v>285</v>
      </c>
      <c r="K20" s="186">
        <f t="shared" si="9"/>
        <v>29.564912280701755</v>
      </c>
    </row>
    <row r="21" spans="2:11" ht="12.75" customHeight="1">
      <c r="B21" s="182" t="s">
        <v>12</v>
      </c>
      <c r="C21" s="114">
        <v>10213</v>
      </c>
      <c r="D21" s="115">
        <v>273</v>
      </c>
      <c r="E21" s="183">
        <f t="shared" si="5"/>
        <v>37.410256410256409</v>
      </c>
      <c r="F21" s="114">
        <v>13322</v>
      </c>
      <c r="G21" s="115">
        <v>395</v>
      </c>
      <c r="H21" s="184">
        <f t="shared" si="6"/>
        <v>33.726582278481011</v>
      </c>
      <c r="I21" s="185">
        <f t="shared" si="7"/>
        <v>23535</v>
      </c>
      <c r="J21" s="185">
        <f t="shared" si="8"/>
        <v>668</v>
      </c>
      <c r="K21" s="186">
        <f t="shared" si="9"/>
        <v>35.232035928143709</v>
      </c>
    </row>
    <row r="22" spans="2:11" ht="12.75" customHeight="1">
      <c r="B22" s="182" t="s">
        <v>21</v>
      </c>
      <c r="C22" s="114">
        <f>8082+757</f>
        <v>8839</v>
      </c>
      <c r="D22" s="286">
        <v>218</v>
      </c>
      <c r="E22" s="183">
        <f t="shared" si="5"/>
        <v>40.545871559633028</v>
      </c>
      <c r="F22" s="114">
        <f>6270+620</f>
        <v>6890</v>
      </c>
      <c r="G22" s="286">
        <v>233</v>
      </c>
      <c r="H22" s="184">
        <f t="shared" si="6"/>
        <v>29.570815450643778</v>
      </c>
      <c r="I22" s="185">
        <f t="shared" si="7"/>
        <v>15729</v>
      </c>
      <c r="J22" s="287">
        <f t="shared" si="8"/>
        <v>451</v>
      </c>
      <c r="K22" s="186">
        <f t="shared" si="9"/>
        <v>34.875831485587582</v>
      </c>
    </row>
    <row r="23" spans="2:11" ht="12.75" customHeight="1">
      <c r="B23" s="182" t="s">
        <v>13</v>
      </c>
      <c r="C23" s="114">
        <f>337+50869+3836</f>
        <v>55042</v>
      </c>
      <c r="D23" s="286">
        <f>29+1278+31</f>
        <v>1338</v>
      </c>
      <c r="E23" s="183">
        <f t="shared" si="5"/>
        <v>41.137518684603883</v>
      </c>
      <c r="F23" s="114">
        <f>16781+1352</f>
        <v>18133</v>
      </c>
      <c r="G23" s="286">
        <f>625+33</f>
        <v>658</v>
      </c>
      <c r="H23" s="184">
        <f t="shared" si="6"/>
        <v>27.55775075987842</v>
      </c>
      <c r="I23" s="185">
        <f t="shared" si="7"/>
        <v>73175</v>
      </c>
      <c r="J23" s="287">
        <f t="shared" si="8"/>
        <v>1996</v>
      </c>
      <c r="K23" s="186">
        <f t="shared" si="9"/>
        <v>36.660821643286575</v>
      </c>
    </row>
    <row r="24" spans="2:11" ht="12.75" customHeight="1">
      <c r="B24" s="187"/>
      <c r="C24" s="116"/>
      <c r="D24" s="117"/>
      <c r="E24" s="188"/>
      <c r="F24" s="116"/>
      <c r="G24" s="117"/>
      <c r="H24" s="189"/>
      <c r="I24" s="174"/>
      <c r="J24" s="174"/>
      <c r="K24" s="190"/>
    </row>
    <row r="25" spans="2:11" ht="12.75" customHeight="1">
      <c r="B25" s="140" t="s">
        <v>81</v>
      </c>
      <c r="C25" s="173">
        <f>103183+337</f>
        <v>103520</v>
      </c>
      <c r="D25" s="141">
        <f>2446</f>
        <v>2446</v>
      </c>
      <c r="E25" s="143">
        <f>C25/D25</f>
        <v>42.322158626328701</v>
      </c>
      <c r="F25" s="141">
        <v>63296</v>
      </c>
      <c r="G25" s="141">
        <v>2083</v>
      </c>
      <c r="H25" s="144">
        <f t="shared" ref="H25" si="10">F25/G25</f>
        <v>30.386941910705712</v>
      </c>
      <c r="I25" s="145">
        <f t="shared" ref="I25" si="11">C25+F25</f>
        <v>166816</v>
      </c>
      <c r="J25" s="236">
        <f>D25+G25</f>
        <v>4529</v>
      </c>
      <c r="K25" s="146">
        <f t="shared" ref="K25" si="12">I25/J25</f>
        <v>36.832854934864208</v>
      </c>
    </row>
    <row r="26" spans="2:11" ht="12.75" customHeight="1">
      <c r="B26" s="202" t="s">
        <v>78</v>
      </c>
      <c r="C26" s="114"/>
      <c r="D26" s="114"/>
      <c r="E26" s="183"/>
      <c r="F26" s="114"/>
      <c r="G26" s="114"/>
      <c r="H26" s="184"/>
      <c r="I26" s="185"/>
      <c r="J26" s="185"/>
      <c r="K26" s="186"/>
    </row>
    <row r="27" spans="2:11" ht="12.75" customHeight="1">
      <c r="B27" s="140" t="s">
        <v>79</v>
      </c>
      <c r="C27" s="173">
        <f>SUM(C18:C23)</f>
        <v>91829</v>
      </c>
      <c r="D27" s="288">
        <f>SUM(D18:D23)</f>
        <v>2233</v>
      </c>
      <c r="E27" s="143"/>
      <c r="F27" s="141">
        <f>SUM(F18:F23)</f>
        <v>60269</v>
      </c>
      <c r="G27" s="141">
        <f>SUM(G18:G23)</f>
        <v>1987</v>
      </c>
      <c r="H27" s="144"/>
      <c r="I27" s="236">
        <f>C27+F27</f>
        <v>152098</v>
      </c>
      <c r="J27" s="236">
        <f>D27+G27</f>
        <v>4220</v>
      </c>
      <c r="K27" s="146"/>
    </row>
    <row r="28" spans="2:11" ht="12.75" customHeight="1">
      <c r="B28" s="210" t="s">
        <v>80</v>
      </c>
      <c r="C28" s="116"/>
      <c r="D28" s="116"/>
      <c r="F28" s="116"/>
      <c r="G28" s="116"/>
      <c r="I28" s="174"/>
      <c r="J28" s="174"/>
      <c r="K28" s="175"/>
    </row>
    <row r="29" spans="2:11" ht="12.75" customHeight="1">
      <c r="B29" s="211"/>
      <c r="C29" s="118"/>
      <c r="D29" s="118"/>
      <c r="F29" s="118"/>
      <c r="G29" s="118"/>
      <c r="I29" s="118"/>
      <c r="J29" s="118"/>
    </row>
    <row r="30" spans="2:11" ht="12.75" customHeight="1">
      <c r="B30" s="211"/>
      <c r="C30" s="118"/>
      <c r="D30" s="118"/>
      <c r="F30" s="118"/>
      <c r="G30" s="118"/>
      <c r="I30" s="118"/>
      <c r="J30" s="118"/>
    </row>
    <row r="31" spans="2:11" ht="12.75" customHeight="1">
      <c r="B31" s="85"/>
      <c r="C31" s="85"/>
      <c r="D31" s="85"/>
      <c r="E31" s="85"/>
      <c r="F31" s="85"/>
      <c r="G31" s="85"/>
      <c r="H31" s="85"/>
      <c r="I31" s="85"/>
      <c r="J31" s="85"/>
      <c r="K31" s="85"/>
    </row>
    <row r="32" spans="2:11" ht="12.75" customHeight="1">
      <c r="B32" s="22" t="s">
        <v>113</v>
      </c>
      <c r="C32" s="332" t="s">
        <v>2</v>
      </c>
      <c r="D32" s="332"/>
      <c r="E32" s="333"/>
      <c r="F32" s="334" t="s">
        <v>3</v>
      </c>
      <c r="G32" s="335"/>
      <c r="H32" s="336"/>
      <c r="I32" s="330" t="s">
        <v>4</v>
      </c>
      <c r="J32" s="331"/>
      <c r="K32" s="331"/>
    </row>
    <row r="33" spans="2:11" ht="12.75" customHeight="1">
      <c r="B33" s="94"/>
      <c r="C33" s="148" t="s">
        <v>5</v>
      </c>
      <c r="D33" s="149" t="s">
        <v>6</v>
      </c>
      <c r="E33" s="153" t="s">
        <v>7</v>
      </c>
      <c r="F33" s="150" t="s">
        <v>5</v>
      </c>
      <c r="G33" s="151" t="s">
        <v>6</v>
      </c>
      <c r="H33" s="154" t="s">
        <v>8</v>
      </c>
      <c r="I33" s="152" t="s">
        <v>5</v>
      </c>
      <c r="J33" s="152" t="s">
        <v>6</v>
      </c>
      <c r="K33" s="155" t="s">
        <v>8</v>
      </c>
    </row>
    <row r="34" spans="2:11" ht="12.75" customHeight="1">
      <c r="B34" s="47" t="s">
        <v>9</v>
      </c>
      <c r="C34" s="112">
        <v>17667</v>
      </c>
      <c r="D34" s="113">
        <v>523</v>
      </c>
      <c r="E34" s="50">
        <f>C34/D34</f>
        <v>33.780114722753346</v>
      </c>
      <c r="F34" s="119">
        <v>835</v>
      </c>
      <c r="G34" s="120">
        <v>118</v>
      </c>
      <c r="H34" s="51">
        <f t="shared" ref="H34:H39" si="13">F34/G34</f>
        <v>7.0762711864406782</v>
      </c>
      <c r="I34" s="135">
        <f t="shared" ref="I34:I39" si="14">C34+F34</f>
        <v>18502</v>
      </c>
      <c r="J34" s="135">
        <f>D34+G34</f>
        <v>641</v>
      </c>
      <c r="K34" s="53">
        <f>I34/J34</f>
        <v>28.86427457098284</v>
      </c>
    </row>
    <row r="35" spans="2:11" ht="12.75" customHeight="1">
      <c r="B35" s="55" t="s">
        <v>10</v>
      </c>
      <c r="C35" s="114">
        <v>14183</v>
      </c>
      <c r="D35" s="115">
        <v>273</v>
      </c>
      <c r="E35" s="58">
        <f t="shared" ref="E35:E39" si="15">C35/D35</f>
        <v>51.952380952380949</v>
      </c>
      <c r="F35" s="121">
        <v>1096</v>
      </c>
      <c r="G35" s="122">
        <v>52</v>
      </c>
      <c r="H35" s="59">
        <f t="shared" si="13"/>
        <v>21.076923076923077</v>
      </c>
      <c r="I35" s="136">
        <f t="shared" si="14"/>
        <v>15279</v>
      </c>
      <c r="J35" s="136">
        <f t="shared" ref="J35:J39" si="16">D35+G35</f>
        <v>325</v>
      </c>
      <c r="K35" s="61">
        <f t="shared" ref="K35:K39" si="17">I35/J35</f>
        <v>47.012307692307694</v>
      </c>
    </row>
    <row r="36" spans="2:11" ht="12.75" customHeight="1">
      <c r="B36" s="55" t="s">
        <v>11</v>
      </c>
      <c r="C36" s="114">
        <v>8004</v>
      </c>
      <c r="D36" s="115">
        <v>286</v>
      </c>
      <c r="E36" s="58">
        <f t="shared" si="15"/>
        <v>27.986013986013987</v>
      </c>
      <c r="F36" s="121">
        <v>691</v>
      </c>
      <c r="G36" s="122">
        <v>90</v>
      </c>
      <c r="H36" s="59">
        <f t="shared" si="13"/>
        <v>7.677777777777778</v>
      </c>
      <c r="I36" s="136">
        <f t="shared" si="14"/>
        <v>8695</v>
      </c>
      <c r="J36" s="136">
        <f t="shared" si="16"/>
        <v>376</v>
      </c>
      <c r="K36" s="61">
        <f t="shared" si="17"/>
        <v>23.125</v>
      </c>
    </row>
    <row r="37" spans="2:11" ht="12.75" customHeight="1">
      <c r="B37" s="55" t="s">
        <v>12</v>
      </c>
      <c r="C37" s="114">
        <v>25546</v>
      </c>
      <c r="D37" s="115">
        <v>733</v>
      </c>
      <c r="E37" s="58">
        <f t="shared" si="15"/>
        <v>34.851296043656205</v>
      </c>
      <c r="F37" s="121">
        <v>1784</v>
      </c>
      <c r="G37" s="122">
        <v>168</v>
      </c>
      <c r="H37" s="59">
        <f t="shared" si="13"/>
        <v>10.619047619047619</v>
      </c>
      <c r="I37" s="136">
        <f t="shared" si="14"/>
        <v>27330</v>
      </c>
      <c r="J37" s="136">
        <f t="shared" si="16"/>
        <v>901</v>
      </c>
      <c r="K37" s="61">
        <f t="shared" si="17"/>
        <v>30.332963374028857</v>
      </c>
    </row>
    <row r="38" spans="2:11" ht="12.75" customHeight="1">
      <c r="B38" s="55" t="s">
        <v>21</v>
      </c>
      <c r="C38" s="114">
        <v>16746</v>
      </c>
      <c r="D38" s="115">
        <v>479</v>
      </c>
      <c r="E38" s="58">
        <f t="shared" si="15"/>
        <v>34.96033402922756</v>
      </c>
      <c r="F38" s="121">
        <v>1025</v>
      </c>
      <c r="G38" s="122">
        <v>130</v>
      </c>
      <c r="H38" s="59">
        <f t="shared" si="13"/>
        <v>7.884615384615385</v>
      </c>
      <c r="I38" s="136">
        <f t="shared" si="14"/>
        <v>17771</v>
      </c>
      <c r="J38" s="136">
        <f t="shared" si="16"/>
        <v>609</v>
      </c>
      <c r="K38" s="61">
        <f t="shared" si="17"/>
        <v>29.180623973727421</v>
      </c>
    </row>
    <row r="39" spans="2:11" ht="12.75" customHeight="1">
      <c r="B39" s="55" t="s">
        <v>13</v>
      </c>
      <c r="C39" s="114">
        <v>76095</v>
      </c>
      <c r="D39" s="115">
        <v>2102</v>
      </c>
      <c r="E39" s="58">
        <f t="shared" si="15"/>
        <v>36.201236917221692</v>
      </c>
      <c r="F39" s="121">
        <v>2439</v>
      </c>
      <c r="G39" s="122">
        <v>197</v>
      </c>
      <c r="H39" s="59">
        <f t="shared" si="13"/>
        <v>12.380710659898478</v>
      </c>
      <c r="I39" s="136">
        <f t="shared" si="14"/>
        <v>78534</v>
      </c>
      <c r="J39" s="136">
        <f t="shared" si="16"/>
        <v>2299</v>
      </c>
      <c r="K39" s="61">
        <f t="shared" si="17"/>
        <v>34.160069595476294</v>
      </c>
    </row>
    <row r="40" spans="2:11" ht="12.75" customHeight="1">
      <c r="B40" s="63"/>
      <c r="C40" s="116"/>
      <c r="D40" s="117"/>
      <c r="E40" s="66"/>
      <c r="F40" s="123"/>
      <c r="G40" s="124"/>
      <c r="H40" s="67"/>
      <c r="I40" s="137"/>
      <c r="J40" s="137"/>
      <c r="K40" s="69"/>
    </row>
    <row r="41" spans="2:11" ht="12.75" customHeight="1">
      <c r="B41" s="140" t="s">
        <v>81</v>
      </c>
      <c r="C41" s="141">
        <v>172830</v>
      </c>
      <c r="D41" s="141">
        <v>4737</v>
      </c>
      <c r="E41" s="143">
        <f>C41/D41</f>
        <v>36.485117162761242</v>
      </c>
      <c r="F41" s="141">
        <v>8426</v>
      </c>
      <c r="G41" s="141">
        <v>804</v>
      </c>
      <c r="H41" s="144">
        <f>F41/G41</f>
        <v>10.480099502487562</v>
      </c>
      <c r="I41" s="145">
        <f>C41+F41</f>
        <v>181256</v>
      </c>
      <c r="J41" s="145">
        <f>D41+G41</f>
        <v>5541</v>
      </c>
      <c r="K41" s="146">
        <f>I41/J41</f>
        <v>32.711784876376107</v>
      </c>
    </row>
    <row r="42" spans="2:11" ht="12.75" customHeight="1">
      <c r="B42" s="202" t="s">
        <v>78</v>
      </c>
      <c r="C42" s="205"/>
      <c r="D42" s="141"/>
      <c r="E42" s="143"/>
      <c r="F42" s="141"/>
      <c r="G42" s="141"/>
      <c r="H42" s="144"/>
      <c r="I42" s="145"/>
      <c r="J42" s="145"/>
      <c r="K42" s="146"/>
    </row>
    <row r="43" spans="2:11" ht="12.75" customHeight="1">
      <c r="B43" s="140" t="s">
        <v>79</v>
      </c>
      <c r="C43" s="141">
        <f>SUM(C34:C39)</f>
        <v>158241</v>
      </c>
      <c r="D43" s="141">
        <f>SUM(D34:D39)</f>
        <v>4396</v>
      </c>
      <c r="E43" s="143"/>
      <c r="F43" s="141">
        <f>SUM(F34:F39)</f>
        <v>7870</v>
      </c>
      <c r="G43" s="141">
        <f>SUM(G34:G39)</f>
        <v>755</v>
      </c>
      <c r="H43" s="144"/>
      <c r="I43" s="145">
        <f>C43+F43</f>
        <v>166111</v>
      </c>
      <c r="J43" s="145">
        <f>D43+G43</f>
        <v>5151</v>
      </c>
      <c r="K43" s="146"/>
    </row>
    <row r="44" spans="2:11" ht="12.75" customHeight="1">
      <c r="B44" s="206" t="s">
        <v>80</v>
      </c>
      <c r="C44" s="118"/>
      <c r="D44" s="118"/>
      <c r="F44" s="125"/>
      <c r="G44" s="125"/>
      <c r="I44" s="200"/>
      <c r="J44" s="200"/>
    </row>
    <row r="45" spans="2:11" ht="5.4" customHeight="1">
      <c r="B45" s="207"/>
      <c r="C45" s="208"/>
      <c r="D45" s="208"/>
      <c r="E45" s="207"/>
      <c r="F45" s="209"/>
      <c r="G45" s="209"/>
      <c r="H45" s="207"/>
      <c r="I45" s="209"/>
      <c r="J45" s="209"/>
      <c r="K45" s="207"/>
    </row>
    <row r="46" spans="2:11" ht="5.4" customHeight="1">
      <c r="C46" s="118"/>
      <c r="D46" s="118"/>
      <c r="F46" s="125"/>
      <c r="G46" s="125"/>
      <c r="I46" s="125"/>
      <c r="J46" s="125"/>
    </row>
    <row r="47" spans="2:11" ht="12.75" customHeight="1">
      <c r="B47" s="22" t="s">
        <v>113</v>
      </c>
      <c r="C47" s="332" t="s">
        <v>75</v>
      </c>
      <c r="D47" s="332"/>
      <c r="E47" s="333"/>
      <c r="F47" s="337" t="s">
        <v>76</v>
      </c>
      <c r="G47" s="332"/>
      <c r="H47" s="333"/>
      <c r="I47" s="338" t="s">
        <v>77</v>
      </c>
      <c r="J47" s="339"/>
      <c r="K47" s="339"/>
    </row>
    <row r="48" spans="2:11" ht="12.75" customHeight="1">
      <c r="B48" s="94"/>
      <c r="C48" s="148" t="s">
        <v>5</v>
      </c>
      <c r="D48" s="149" t="s">
        <v>6</v>
      </c>
      <c r="E48" s="153" t="s">
        <v>7</v>
      </c>
      <c r="F48" s="150" t="s">
        <v>5</v>
      </c>
      <c r="G48" s="151" t="s">
        <v>6</v>
      </c>
      <c r="H48" s="154" t="s">
        <v>8</v>
      </c>
      <c r="I48" s="152" t="s">
        <v>5</v>
      </c>
      <c r="J48" s="152" t="s">
        <v>6</v>
      </c>
      <c r="K48" s="155" t="s">
        <v>8</v>
      </c>
    </row>
    <row r="49" spans="2:11" ht="12.75" customHeight="1">
      <c r="B49" s="177" t="s">
        <v>9</v>
      </c>
      <c r="C49" s="112">
        <v>8942</v>
      </c>
      <c r="D49" s="113">
        <v>214</v>
      </c>
      <c r="E49" s="178">
        <f t="shared" ref="E49:E54" si="18">C49/D49</f>
        <v>41.785046728971963</v>
      </c>
      <c r="F49" s="112">
        <v>8725</v>
      </c>
      <c r="G49" s="113">
        <v>309</v>
      </c>
      <c r="H49" s="179">
        <f t="shared" ref="H49:H54" si="19">F49/G49</f>
        <v>28.236245954692556</v>
      </c>
      <c r="I49" s="180">
        <f t="shared" ref="I49:I54" si="20">C49+F49</f>
        <v>17667</v>
      </c>
      <c r="J49" s="180">
        <f t="shared" ref="J49:J54" si="21">D49+G49</f>
        <v>523</v>
      </c>
      <c r="K49" s="181">
        <f t="shared" ref="K49:K54" si="22">I49/J49</f>
        <v>33.780114722753346</v>
      </c>
    </row>
    <row r="50" spans="2:11" ht="12.75" customHeight="1">
      <c r="B50" s="182" t="s">
        <v>10</v>
      </c>
      <c r="C50" s="114">
        <v>4401</v>
      </c>
      <c r="D50" s="115">
        <v>61</v>
      </c>
      <c r="E50" s="183">
        <f t="shared" si="18"/>
        <v>72.147540983606561</v>
      </c>
      <c r="F50" s="114">
        <v>9782</v>
      </c>
      <c r="G50" s="115">
        <v>212</v>
      </c>
      <c r="H50" s="184">
        <f t="shared" si="19"/>
        <v>46.141509433962263</v>
      </c>
      <c r="I50" s="185">
        <f t="shared" si="20"/>
        <v>14183</v>
      </c>
      <c r="J50" s="185">
        <f t="shared" si="21"/>
        <v>273</v>
      </c>
      <c r="K50" s="186">
        <f t="shared" si="22"/>
        <v>51.952380952380949</v>
      </c>
    </row>
    <row r="51" spans="2:11" ht="12.75" customHeight="1">
      <c r="B51" s="182" t="s">
        <v>11</v>
      </c>
      <c r="C51" s="114">
        <v>4750</v>
      </c>
      <c r="D51" s="115">
        <v>152</v>
      </c>
      <c r="E51" s="183">
        <f t="shared" si="18"/>
        <v>31.25</v>
      </c>
      <c r="F51" s="114">
        <v>3254</v>
      </c>
      <c r="G51" s="115">
        <v>134</v>
      </c>
      <c r="H51" s="184">
        <f t="shared" si="19"/>
        <v>24.28358208955224</v>
      </c>
      <c r="I51" s="185">
        <f t="shared" si="20"/>
        <v>8004</v>
      </c>
      <c r="J51" s="185">
        <f t="shared" si="21"/>
        <v>286</v>
      </c>
      <c r="K51" s="186">
        <f t="shared" si="22"/>
        <v>27.986013986013987</v>
      </c>
    </row>
    <row r="52" spans="2:11" ht="12.75" customHeight="1">
      <c r="B52" s="182" t="s">
        <v>12</v>
      </c>
      <c r="C52" s="114">
        <v>10574</v>
      </c>
      <c r="D52" s="115">
        <v>279</v>
      </c>
      <c r="E52" s="183">
        <f t="shared" si="18"/>
        <v>37.899641577060933</v>
      </c>
      <c r="F52" s="114">
        <v>14972</v>
      </c>
      <c r="G52" s="115">
        <v>454</v>
      </c>
      <c r="H52" s="184">
        <f t="shared" si="19"/>
        <v>32.977973568281939</v>
      </c>
      <c r="I52" s="185">
        <f t="shared" si="20"/>
        <v>25546</v>
      </c>
      <c r="J52" s="185">
        <f t="shared" si="21"/>
        <v>733</v>
      </c>
      <c r="K52" s="186">
        <f t="shared" si="22"/>
        <v>34.851296043656205</v>
      </c>
    </row>
    <row r="53" spans="2:11" ht="12.75" customHeight="1">
      <c r="B53" s="182" t="s">
        <v>21</v>
      </c>
      <c r="C53" s="114">
        <v>9204</v>
      </c>
      <c r="D53" s="286">
        <v>228</v>
      </c>
      <c r="E53" s="183">
        <f t="shared" si="18"/>
        <v>40.368421052631582</v>
      </c>
      <c r="F53" s="114">
        <v>7542</v>
      </c>
      <c r="G53" s="286">
        <v>251</v>
      </c>
      <c r="H53" s="184">
        <f t="shared" si="19"/>
        <v>30.047808764940239</v>
      </c>
      <c r="I53" s="185">
        <f t="shared" si="20"/>
        <v>16746</v>
      </c>
      <c r="J53" s="287">
        <f t="shared" si="21"/>
        <v>479</v>
      </c>
      <c r="K53" s="186">
        <f t="shared" si="22"/>
        <v>34.96033402922756</v>
      </c>
    </row>
    <row r="54" spans="2:11" ht="12.75" customHeight="1">
      <c r="B54" s="182" t="s">
        <v>13</v>
      </c>
      <c r="C54" s="114">
        <v>57285</v>
      </c>
      <c r="D54" s="286">
        <v>1423</v>
      </c>
      <c r="E54" s="183">
        <f t="shared" si="18"/>
        <v>40.256500351370342</v>
      </c>
      <c r="F54" s="114">
        <v>18810</v>
      </c>
      <c r="G54" s="286">
        <v>679</v>
      </c>
      <c r="H54" s="184">
        <f t="shared" si="19"/>
        <v>27.702503681885126</v>
      </c>
      <c r="I54" s="185">
        <f t="shared" si="20"/>
        <v>76095</v>
      </c>
      <c r="J54" s="287">
        <f t="shared" si="21"/>
        <v>2102</v>
      </c>
      <c r="K54" s="186">
        <f t="shared" si="22"/>
        <v>36.201236917221692</v>
      </c>
    </row>
    <row r="55" spans="2:11" ht="12.75" customHeight="1">
      <c r="B55" s="187"/>
      <c r="C55" s="116"/>
      <c r="D55" s="117"/>
      <c r="E55" s="188"/>
      <c r="F55" s="116"/>
      <c r="G55" s="117"/>
      <c r="H55" s="189"/>
      <c r="I55" s="174"/>
      <c r="J55" s="174"/>
      <c r="K55" s="190"/>
    </row>
    <row r="56" spans="2:11" ht="12.75" customHeight="1">
      <c r="B56" s="140" t="s">
        <v>81</v>
      </c>
      <c r="C56" s="173">
        <v>106732</v>
      </c>
      <c r="D56" s="141">
        <v>2605</v>
      </c>
      <c r="E56" s="143">
        <f>C56/D56</f>
        <v>40.971976967370445</v>
      </c>
      <c r="F56" s="141">
        <v>66098</v>
      </c>
      <c r="G56" s="141">
        <v>2132</v>
      </c>
      <c r="H56" s="144">
        <f t="shared" ref="H56" si="23">F56/G56</f>
        <v>31.002814258911819</v>
      </c>
      <c r="I56" s="145">
        <f t="shared" ref="I56" si="24">C56+F56</f>
        <v>172830</v>
      </c>
      <c r="J56" s="236">
        <f>D56+G56</f>
        <v>4737</v>
      </c>
      <c r="K56" s="146">
        <f t="shared" ref="K56" si="25">I56/J56</f>
        <v>36.485117162761242</v>
      </c>
    </row>
    <row r="57" spans="2:11" ht="12.75" customHeight="1">
      <c r="B57" s="202" t="s">
        <v>78</v>
      </c>
      <c r="C57" s="114"/>
      <c r="D57" s="114"/>
      <c r="E57" s="183"/>
      <c r="F57" s="114"/>
      <c r="G57" s="114"/>
      <c r="H57" s="184"/>
      <c r="I57" s="185"/>
      <c r="J57" s="185"/>
      <c r="K57" s="186"/>
    </row>
    <row r="58" spans="2:11" ht="12.75" customHeight="1">
      <c r="B58" s="140" t="s">
        <v>79</v>
      </c>
      <c r="C58" s="173">
        <f>SUM(C49:C54)</f>
        <v>95156</v>
      </c>
      <c r="D58" s="288">
        <f>SUM(D49:D54)</f>
        <v>2357</v>
      </c>
      <c r="E58" s="143"/>
      <c r="F58" s="141">
        <f>SUM(F49:F54)</f>
        <v>63085</v>
      </c>
      <c r="G58" s="141">
        <f>SUM(G49:G54)</f>
        <v>2039</v>
      </c>
      <c r="H58" s="144"/>
      <c r="I58" s="236">
        <f>C58+F58</f>
        <v>158241</v>
      </c>
      <c r="J58" s="236">
        <f>D58+G58</f>
        <v>4396</v>
      </c>
      <c r="K58" s="146"/>
    </row>
    <row r="59" spans="2:11" ht="12.75" customHeight="1">
      <c r="B59" s="210" t="s">
        <v>80</v>
      </c>
      <c r="C59" s="116"/>
      <c r="D59" s="116"/>
      <c r="F59" s="116"/>
      <c r="G59" s="116"/>
      <c r="I59" s="174"/>
      <c r="J59" s="174"/>
      <c r="K59" s="175"/>
    </row>
    <row r="60" spans="2:11" ht="12.75" customHeight="1">
      <c r="B60" s="211"/>
      <c r="C60" s="118"/>
      <c r="D60" s="118"/>
      <c r="F60" s="118"/>
      <c r="G60" s="118"/>
      <c r="I60" s="118"/>
      <c r="J60" s="118"/>
    </row>
    <row r="61" spans="2:11" ht="12.75" customHeight="1">
      <c r="B61" s="211"/>
      <c r="C61" s="118"/>
      <c r="D61" s="118"/>
      <c r="F61" s="118"/>
      <c r="G61" s="118"/>
      <c r="I61" s="118"/>
      <c r="J61" s="118"/>
    </row>
    <row r="62" spans="2:11" ht="12.75" customHeight="1">
      <c r="B62" s="85"/>
      <c r="C62" s="85"/>
      <c r="D62" s="85"/>
      <c r="E62" s="85"/>
      <c r="F62" s="85"/>
      <c r="G62" s="85"/>
      <c r="H62" s="85"/>
      <c r="I62" s="85"/>
      <c r="J62" s="85"/>
      <c r="K62" s="85"/>
    </row>
    <row r="63" spans="2:11" ht="12.75" customHeight="1">
      <c r="B63" s="22" t="s">
        <v>104</v>
      </c>
      <c r="C63" s="327" t="s">
        <v>2</v>
      </c>
      <c r="D63" s="327"/>
      <c r="E63" s="328"/>
      <c r="F63" s="329" t="s">
        <v>3</v>
      </c>
      <c r="G63" s="327"/>
      <c r="H63" s="328"/>
      <c r="I63" s="330" t="s">
        <v>4</v>
      </c>
      <c r="J63" s="331"/>
      <c r="K63" s="331"/>
    </row>
    <row r="64" spans="2:11" ht="12.75" customHeight="1">
      <c r="B64" s="94"/>
      <c r="C64" s="148" t="s">
        <v>5</v>
      </c>
      <c r="D64" s="149" t="s">
        <v>6</v>
      </c>
      <c r="E64" s="153" t="s">
        <v>7</v>
      </c>
      <c r="F64" s="150" t="s">
        <v>5</v>
      </c>
      <c r="G64" s="151" t="s">
        <v>6</v>
      </c>
      <c r="H64" s="154" t="s">
        <v>8</v>
      </c>
      <c r="I64" s="152" t="s">
        <v>5</v>
      </c>
      <c r="J64" s="152" t="s">
        <v>6</v>
      </c>
      <c r="K64" s="155" t="s">
        <v>8</v>
      </c>
    </row>
    <row r="65" spans="2:11" ht="12.75" customHeight="1">
      <c r="B65" s="47" t="s">
        <v>9</v>
      </c>
      <c r="C65" s="112">
        <v>18476</v>
      </c>
      <c r="D65" s="113">
        <v>507</v>
      </c>
      <c r="E65" s="50">
        <f>C65/D65</f>
        <v>36.441814595660752</v>
      </c>
      <c r="F65" s="119">
        <v>978</v>
      </c>
      <c r="G65" s="120">
        <v>114</v>
      </c>
      <c r="H65" s="51">
        <f t="shared" ref="H65:H70" si="26">F65/G65</f>
        <v>8.5789473684210531</v>
      </c>
      <c r="I65" s="135">
        <f t="shared" ref="I65:I70" si="27">C65+F65</f>
        <v>19454</v>
      </c>
      <c r="J65" s="135">
        <f>D65+G65</f>
        <v>621</v>
      </c>
      <c r="K65" s="53">
        <f>I65/J65</f>
        <v>31.326892109500804</v>
      </c>
    </row>
    <row r="66" spans="2:11" ht="12.75" customHeight="1">
      <c r="B66" s="55" t="s">
        <v>10</v>
      </c>
      <c r="C66" s="114">
        <v>14241</v>
      </c>
      <c r="D66" s="115">
        <v>281</v>
      </c>
      <c r="E66" s="58">
        <f t="shared" ref="E66:E70" si="28">C66/D66</f>
        <v>50.679715302491104</v>
      </c>
      <c r="F66" s="121">
        <v>857</v>
      </c>
      <c r="G66" s="122">
        <v>56</v>
      </c>
      <c r="H66" s="59">
        <f t="shared" si="26"/>
        <v>15.303571428571429</v>
      </c>
      <c r="I66" s="136">
        <f t="shared" si="27"/>
        <v>15098</v>
      </c>
      <c r="J66" s="136">
        <f t="shared" ref="J66:J70" si="29">D66+G66</f>
        <v>337</v>
      </c>
      <c r="K66" s="61">
        <f t="shared" ref="K66:K70" si="30">I66/J66</f>
        <v>44.801186943620181</v>
      </c>
    </row>
    <row r="67" spans="2:11" ht="12.75" customHeight="1">
      <c r="B67" s="55" t="s">
        <v>11</v>
      </c>
      <c r="C67" s="114">
        <v>7897</v>
      </c>
      <c r="D67" s="115">
        <v>259</v>
      </c>
      <c r="E67" s="58">
        <f t="shared" si="28"/>
        <v>30.490347490347489</v>
      </c>
      <c r="F67" s="121">
        <v>822</v>
      </c>
      <c r="G67" s="122">
        <v>91</v>
      </c>
      <c r="H67" s="59">
        <f t="shared" si="26"/>
        <v>9.0329670329670328</v>
      </c>
      <c r="I67" s="136">
        <f t="shared" si="27"/>
        <v>8719</v>
      </c>
      <c r="J67" s="136">
        <f t="shared" si="29"/>
        <v>350</v>
      </c>
      <c r="K67" s="61">
        <f t="shared" si="30"/>
        <v>24.911428571428573</v>
      </c>
    </row>
    <row r="68" spans="2:11" ht="12.75" customHeight="1">
      <c r="B68" s="55" t="s">
        <v>12</v>
      </c>
      <c r="C68" s="114">
        <v>26268</v>
      </c>
      <c r="D68" s="115">
        <v>712</v>
      </c>
      <c r="E68" s="58">
        <f t="shared" si="28"/>
        <v>36.893258426966291</v>
      </c>
      <c r="F68" s="121">
        <v>1997</v>
      </c>
      <c r="G68" s="122">
        <v>149</v>
      </c>
      <c r="H68" s="59">
        <f t="shared" si="26"/>
        <v>13.40268456375839</v>
      </c>
      <c r="I68" s="136">
        <f t="shared" si="27"/>
        <v>28265</v>
      </c>
      <c r="J68" s="136">
        <f t="shared" si="29"/>
        <v>861</v>
      </c>
      <c r="K68" s="61">
        <f t="shared" si="30"/>
        <v>32.828106852497093</v>
      </c>
    </row>
    <row r="69" spans="2:11" ht="12.75" customHeight="1">
      <c r="B69" s="55" t="s">
        <v>21</v>
      </c>
      <c r="C69" s="114">
        <v>17583</v>
      </c>
      <c r="D69" s="115">
        <v>490</v>
      </c>
      <c r="E69" s="58">
        <f t="shared" si="28"/>
        <v>35.883673469387752</v>
      </c>
      <c r="F69" s="121">
        <v>951</v>
      </c>
      <c r="G69" s="122">
        <v>120</v>
      </c>
      <c r="H69" s="59">
        <f t="shared" si="26"/>
        <v>7.9249999999999998</v>
      </c>
      <c r="I69" s="136">
        <f t="shared" si="27"/>
        <v>18534</v>
      </c>
      <c r="J69" s="136">
        <f t="shared" si="29"/>
        <v>610</v>
      </c>
      <c r="K69" s="61">
        <f t="shared" si="30"/>
        <v>30.38360655737705</v>
      </c>
    </row>
    <row r="70" spans="2:11" ht="12.75" customHeight="1">
      <c r="B70" s="55" t="s">
        <v>13</v>
      </c>
      <c r="C70" s="114">
        <v>80824</v>
      </c>
      <c r="D70" s="115">
        <v>2160</v>
      </c>
      <c r="E70" s="58">
        <f t="shared" si="28"/>
        <v>37.418518518518518</v>
      </c>
      <c r="F70" s="121">
        <v>2674</v>
      </c>
      <c r="G70" s="122">
        <v>187</v>
      </c>
      <c r="H70" s="59">
        <f t="shared" si="26"/>
        <v>14.299465240641711</v>
      </c>
      <c r="I70" s="136">
        <f t="shared" si="27"/>
        <v>83498</v>
      </c>
      <c r="J70" s="136">
        <f t="shared" si="29"/>
        <v>2347</v>
      </c>
      <c r="K70" s="61">
        <f t="shared" si="30"/>
        <v>35.576480613549215</v>
      </c>
    </row>
    <row r="71" spans="2:11" ht="12.75" customHeight="1">
      <c r="B71" s="63"/>
      <c r="C71" s="116"/>
      <c r="D71" s="117"/>
      <c r="E71" s="66"/>
      <c r="F71" s="123"/>
      <c r="G71" s="124"/>
      <c r="H71" s="67"/>
      <c r="I71" s="137"/>
      <c r="J71" s="137"/>
      <c r="K71" s="69"/>
    </row>
    <row r="72" spans="2:11" ht="12.75" customHeight="1">
      <c r="B72" s="140" t="s">
        <v>81</v>
      </c>
      <c r="C72" s="141">
        <v>180652</v>
      </c>
      <c r="D72" s="141">
        <v>4771</v>
      </c>
      <c r="E72" s="143">
        <f>C72/D72</f>
        <v>37.864598616642212</v>
      </c>
      <c r="F72" s="141">
        <v>8833</v>
      </c>
      <c r="G72" s="141">
        <v>761</v>
      </c>
      <c r="H72" s="144">
        <f>F72/G72</f>
        <v>11.607095926412615</v>
      </c>
      <c r="I72" s="145">
        <f>C72+F72</f>
        <v>189485</v>
      </c>
      <c r="J72" s="145">
        <f>D72+G72</f>
        <v>5532</v>
      </c>
      <c r="K72" s="146">
        <f>I72/J72</f>
        <v>34.252530730296456</v>
      </c>
    </row>
    <row r="73" spans="2:11" ht="12.75" customHeight="1">
      <c r="B73" s="202" t="s">
        <v>78</v>
      </c>
      <c r="C73" s="205"/>
      <c r="D73" s="141"/>
      <c r="E73" s="143"/>
      <c r="F73" s="141"/>
      <c r="G73" s="141"/>
      <c r="H73" s="144"/>
      <c r="I73" s="145"/>
      <c r="J73" s="145"/>
      <c r="K73" s="146"/>
    </row>
    <row r="74" spans="2:11" ht="12.75" customHeight="1">
      <c r="B74" s="140" t="s">
        <v>79</v>
      </c>
      <c r="C74" s="141">
        <f>SUM(C65:C70)</f>
        <v>165289</v>
      </c>
      <c r="D74" s="141">
        <f>SUM(D65:D70)</f>
        <v>4409</v>
      </c>
      <c r="E74" s="143"/>
      <c r="F74" s="141">
        <f>SUM(F65:F70)</f>
        <v>8279</v>
      </c>
      <c r="G74" s="141">
        <f>SUM(G65:G70)</f>
        <v>717</v>
      </c>
      <c r="H74" s="144"/>
      <c r="I74" s="145">
        <f>C74+F74</f>
        <v>173568</v>
      </c>
      <c r="J74" s="145">
        <f>D74+G74</f>
        <v>5126</v>
      </c>
      <c r="K74" s="146"/>
    </row>
    <row r="75" spans="2:11" ht="12.75" customHeight="1">
      <c r="B75" s="206" t="s">
        <v>80</v>
      </c>
      <c r="C75" s="118"/>
      <c r="D75" s="118"/>
      <c r="F75" s="125"/>
      <c r="G75" s="125"/>
      <c r="I75" s="200"/>
      <c r="J75" s="200"/>
    </row>
    <row r="76" spans="2:11" ht="5.4" customHeight="1">
      <c r="B76" s="207"/>
      <c r="C76" s="208"/>
      <c r="D76" s="208"/>
      <c r="E76" s="207"/>
      <c r="F76" s="209"/>
      <c r="G76" s="209"/>
      <c r="H76" s="207"/>
      <c r="I76" s="209"/>
      <c r="J76" s="209"/>
      <c r="K76" s="207"/>
    </row>
    <row r="77" spans="2:11" ht="5.4" customHeight="1">
      <c r="C77" s="118"/>
      <c r="D77" s="118"/>
      <c r="F77" s="125"/>
      <c r="G77" s="125"/>
      <c r="I77" s="125"/>
      <c r="J77" s="125"/>
    </row>
    <row r="78" spans="2:11" ht="12.75" customHeight="1">
      <c r="B78" s="22" t="s">
        <v>104</v>
      </c>
      <c r="C78" s="327" t="s">
        <v>75</v>
      </c>
      <c r="D78" s="327"/>
      <c r="E78" s="328"/>
      <c r="F78" s="329" t="s">
        <v>76</v>
      </c>
      <c r="G78" s="327"/>
      <c r="H78" s="328"/>
      <c r="I78" s="330" t="s">
        <v>77</v>
      </c>
      <c r="J78" s="331"/>
      <c r="K78" s="331"/>
    </row>
    <row r="79" spans="2:11" ht="12.75" customHeight="1">
      <c r="B79" s="94"/>
      <c r="C79" s="148" t="s">
        <v>5</v>
      </c>
      <c r="D79" s="149" t="s">
        <v>6</v>
      </c>
      <c r="E79" s="153" t="s">
        <v>7</v>
      </c>
      <c r="F79" s="150" t="s">
        <v>5</v>
      </c>
      <c r="G79" s="151" t="s">
        <v>6</v>
      </c>
      <c r="H79" s="154" t="s">
        <v>8</v>
      </c>
      <c r="I79" s="152" t="s">
        <v>5</v>
      </c>
      <c r="J79" s="152" t="s">
        <v>6</v>
      </c>
      <c r="K79" s="155" t="s">
        <v>8</v>
      </c>
    </row>
    <row r="80" spans="2:11" ht="12.75" customHeight="1">
      <c r="B80" s="177" t="s">
        <v>9</v>
      </c>
      <c r="C80" s="112">
        <v>9227</v>
      </c>
      <c r="D80" s="113">
        <v>190</v>
      </c>
      <c r="E80" s="178">
        <f t="shared" ref="E80:E85" si="31">C80/D80</f>
        <v>48.56315789473684</v>
      </c>
      <c r="F80" s="112">
        <v>9249</v>
      </c>
      <c r="G80" s="113">
        <v>317</v>
      </c>
      <c r="H80" s="179">
        <f t="shared" ref="H80:H85" si="32">F80/G80</f>
        <v>29.176656151419557</v>
      </c>
      <c r="I80" s="180">
        <f t="shared" ref="I80:I85" si="33">C80+F80</f>
        <v>18476</v>
      </c>
      <c r="J80" s="180">
        <f t="shared" ref="J80:J85" si="34">D80+G80</f>
        <v>507</v>
      </c>
      <c r="K80" s="181">
        <f t="shared" ref="K80:K85" si="35">I80/J80</f>
        <v>36.441814595660752</v>
      </c>
    </row>
    <row r="81" spans="2:11" ht="12.75" customHeight="1">
      <c r="B81" s="182" t="s">
        <v>10</v>
      </c>
      <c r="C81" s="114">
        <v>4638</v>
      </c>
      <c r="D81" s="115">
        <v>62</v>
      </c>
      <c r="E81" s="183">
        <f t="shared" si="31"/>
        <v>74.806451612903231</v>
      </c>
      <c r="F81" s="114">
        <v>9603</v>
      </c>
      <c r="G81" s="115">
        <v>219</v>
      </c>
      <c r="H81" s="184">
        <f t="shared" si="32"/>
        <v>43.849315068493148</v>
      </c>
      <c r="I81" s="185">
        <f t="shared" si="33"/>
        <v>14241</v>
      </c>
      <c r="J81" s="185">
        <f t="shared" si="34"/>
        <v>281</v>
      </c>
      <c r="K81" s="186">
        <f t="shared" si="35"/>
        <v>50.679715302491104</v>
      </c>
    </row>
    <row r="82" spans="2:11" ht="12.75" customHeight="1">
      <c r="B82" s="182" t="s">
        <v>11</v>
      </c>
      <c r="C82" s="114">
        <v>4667</v>
      </c>
      <c r="D82" s="115">
        <v>133</v>
      </c>
      <c r="E82" s="183">
        <f t="shared" si="31"/>
        <v>35.090225563909776</v>
      </c>
      <c r="F82" s="114">
        <v>3230</v>
      </c>
      <c r="G82" s="115">
        <v>126</v>
      </c>
      <c r="H82" s="184">
        <f t="shared" si="32"/>
        <v>25.634920634920636</v>
      </c>
      <c r="I82" s="185">
        <f t="shared" si="33"/>
        <v>7897</v>
      </c>
      <c r="J82" s="185">
        <f t="shared" si="34"/>
        <v>259</v>
      </c>
      <c r="K82" s="186">
        <f t="shared" si="35"/>
        <v>30.490347490347489</v>
      </c>
    </row>
    <row r="83" spans="2:11" ht="12.75" customHeight="1">
      <c r="B83" s="182" t="s">
        <v>12</v>
      </c>
      <c r="C83" s="114">
        <v>11773</v>
      </c>
      <c r="D83" s="115">
        <v>288</v>
      </c>
      <c r="E83" s="183">
        <f t="shared" si="31"/>
        <v>40.878472222222221</v>
      </c>
      <c r="F83" s="114">
        <v>14495</v>
      </c>
      <c r="G83" s="115">
        <v>424</v>
      </c>
      <c r="H83" s="184">
        <f t="shared" si="32"/>
        <v>34.186320754716981</v>
      </c>
      <c r="I83" s="185">
        <f t="shared" si="33"/>
        <v>26268</v>
      </c>
      <c r="J83" s="185">
        <f t="shared" si="34"/>
        <v>712</v>
      </c>
      <c r="K83" s="186">
        <f t="shared" si="35"/>
        <v>36.893258426966291</v>
      </c>
    </row>
    <row r="84" spans="2:11" ht="12.75" customHeight="1">
      <c r="B84" s="182" t="s">
        <v>21</v>
      </c>
      <c r="C84" s="114">
        <v>10020</v>
      </c>
      <c r="D84" s="286">
        <v>240</v>
      </c>
      <c r="E84" s="183">
        <f t="shared" si="31"/>
        <v>41.75</v>
      </c>
      <c r="F84" s="114">
        <v>7563</v>
      </c>
      <c r="G84" s="286">
        <v>250</v>
      </c>
      <c r="H84" s="184">
        <f t="shared" si="32"/>
        <v>30.251999999999999</v>
      </c>
      <c r="I84" s="185">
        <f t="shared" si="33"/>
        <v>17583</v>
      </c>
      <c r="J84" s="287">
        <f t="shared" si="34"/>
        <v>490</v>
      </c>
      <c r="K84" s="186">
        <f t="shared" si="35"/>
        <v>35.883673469387752</v>
      </c>
    </row>
    <row r="85" spans="2:11" ht="12.75" customHeight="1">
      <c r="B85" s="182" t="s">
        <v>13</v>
      </c>
      <c r="C85" s="114">
        <v>61946</v>
      </c>
      <c r="D85" s="286">
        <v>1493</v>
      </c>
      <c r="E85" s="183">
        <f t="shared" si="31"/>
        <v>41.490957803081045</v>
      </c>
      <c r="F85" s="114">
        <v>18878</v>
      </c>
      <c r="G85" s="286">
        <v>667</v>
      </c>
      <c r="H85" s="184">
        <f t="shared" si="32"/>
        <v>28.302848575712144</v>
      </c>
      <c r="I85" s="185">
        <f t="shared" si="33"/>
        <v>80824</v>
      </c>
      <c r="J85" s="287">
        <f t="shared" si="34"/>
        <v>2160</v>
      </c>
      <c r="K85" s="186">
        <f t="shared" si="35"/>
        <v>37.418518518518518</v>
      </c>
    </row>
    <row r="86" spans="2:11" ht="12.75" customHeight="1">
      <c r="B86" s="187"/>
      <c r="C86" s="116"/>
      <c r="D86" s="117"/>
      <c r="E86" s="188"/>
      <c r="F86" s="116"/>
      <c r="G86" s="117"/>
      <c r="H86" s="189"/>
      <c r="I86" s="174"/>
      <c r="J86" s="174"/>
      <c r="K86" s="190"/>
    </row>
    <row r="87" spans="2:11" ht="12.75" customHeight="1">
      <c r="B87" s="140" t="s">
        <v>81</v>
      </c>
      <c r="C87" s="173">
        <v>114443</v>
      </c>
      <c r="D87" s="141">
        <v>2667</v>
      </c>
      <c r="E87" s="143">
        <f>C87/D87</f>
        <v>42.910761154855642</v>
      </c>
      <c r="F87" s="141">
        <v>66209</v>
      </c>
      <c r="G87" s="141">
        <v>2104</v>
      </c>
      <c r="H87" s="144">
        <f t="shared" ref="H87" si="36">F87/G87</f>
        <v>31.468155893536121</v>
      </c>
      <c r="I87" s="145">
        <f t="shared" ref="I87" si="37">C87+F87</f>
        <v>180652</v>
      </c>
      <c r="J87" s="236">
        <f>D87+G87</f>
        <v>4771</v>
      </c>
      <c r="K87" s="146">
        <f t="shared" ref="K87" si="38">I87/J87</f>
        <v>37.864598616642212</v>
      </c>
    </row>
    <row r="88" spans="2:11" ht="12.75" customHeight="1">
      <c r="B88" s="202" t="s">
        <v>78</v>
      </c>
      <c r="C88" s="114"/>
      <c r="D88" s="114"/>
      <c r="E88" s="183"/>
      <c r="F88" s="114"/>
      <c r="G88" s="114"/>
      <c r="H88" s="184"/>
      <c r="I88" s="185"/>
      <c r="J88" s="185"/>
      <c r="K88" s="186"/>
    </row>
    <row r="89" spans="2:11" ht="12.75" customHeight="1">
      <c r="B89" s="140" t="s">
        <v>79</v>
      </c>
      <c r="C89" s="173">
        <f>SUM(C80:C85)</f>
        <v>102271</v>
      </c>
      <c r="D89" s="288">
        <f>SUM(D80:D85)</f>
        <v>2406</v>
      </c>
      <c r="E89" s="143"/>
      <c r="F89" s="141">
        <f>SUM(F80:F85)</f>
        <v>63018</v>
      </c>
      <c r="G89" s="141">
        <f>SUM(G80:G85)</f>
        <v>2003</v>
      </c>
      <c r="H89" s="144"/>
      <c r="I89" s="236">
        <f>C89+F89</f>
        <v>165289</v>
      </c>
      <c r="J89" s="236">
        <f>D89+G89</f>
        <v>4409</v>
      </c>
      <c r="K89" s="146"/>
    </row>
    <row r="90" spans="2:11" ht="12.75" customHeight="1">
      <c r="B90" s="210" t="s">
        <v>80</v>
      </c>
      <c r="C90" s="116"/>
      <c r="D90" s="116"/>
      <c r="F90" s="116"/>
      <c r="G90" s="116"/>
      <c r="I90" s="174"/>
      <c r="J90" s="174"/>
      <c r="K90" s="175"/>
    </row>
    <row r="91" spans="2:11" ht="12.75" customHeight="1">
      <c r="B91" s="211"/>
      <c r="C91" s="118"/>
      <c r="D91" s="118"/>
      <c r="F91" s="118"/>
      <c r="G91" s="118"/>
      <c r="I91" s="118"/>
      <c r="J91" s="118"/>
    </row>
    <row r="92" spans="2:11" ht="12.75" customHeight="1">
      <c r="B92" s="211"/>
      <c r="C92" s="118"/>
      <c r="D92" s="118"/>
      <c r="F92" s="118"/>
      <c r="G92" s="118"/>
      <c r="I92" s="118"/>
      <c r="J92" s="118"/>
    </row>
    <row r="93" spans="2:11" ht="12.75" customHeight="1">
      <c r="B93" s="85"/>
      <c r="C93" s="85"/>
      <c r="D93" s="85"/>
      <c r="E93" s="85"/>
      <c r="F93" s="85"/>
      <c r="G93" s="85"/>
      <c r="H93" s="85"/>
      <c r="I93" s="85"/>
      <c r="J93" s="85"/>
      <c r="K93" s="85"/>
    </row>
    <row r="94" spans="2:11" ht="12.75" customHeight="1">
      <c r="B94" s="22" t="s">
        <v>98</v>
      </c>
      <c r="C94" s="327" t="s">
        <v>2</v>
      </c>
      <c r="D94" s="327"/>
      <c r="E94" s="328"/>
      <c r="F94" s="329" t="s">
        <v>3</v>
      </c>
      <c r="G94" s="327"/>
      <c r="H94" s="328"/>
      <c r="I94" s="330" t="s">
        <v>4</v>
      </c>
      <c r="J94" s="331"/>
      <c r="K94" s="331"/>
    </row>
    <row r="95" spans="2:11" ht="12.75" customHeight="1">
      <c r="B95" s="94"/>
      <c r="C95" s="148" t="s">
        <v>5</v>
      </c>
      <c r="D95" s="149" t="s">
        <v>6</v>
      </c>
      <c r="E95" s="153" t="s">
        <v>7</v>
      </c>
      <c r="F95" s="150" t="s">
        <v>5</v>
      </c>
      <c r="G95" s="151" t="s">
        <v>6</v>
      </c>
      <c r="H95" s="154" t="s">
        <v>8</v>
      </c>
      <c r="I95" s="152" t="s">
        <v>5</v>
      </c>
      <c r="J95" s="152" t="s">
        <v>6</v>
      </c>
      <c r="K95" s="155" t="s">
        <v>8</v>
      </c>
    </row>
    <row r="96" spans="2:11" ht="12.75" customHeight="1">
      <c r="B96" s="47" t="s">
        <v>9</v>
      </c>
      <c r="C96" s="112">
        <v>19706</v>
      </c>
      <c r="D96" s="113">
        <v>514</v>
      </c>
      <c r="E96" s="50">
        <f t="shared" ref="E96:E101" si="39">C96/D96</f>
        <v>38.338521400778212</v>
      </c>
      <c r="F96" s="119">
        <v>1032</v>
      </c>
      <c r="G96" s="120">
        <v>114</v>
      </c>
      <c r="H96" s="51">
        <f t="shared" ref="H96:H101" si="40">F96/G96</f>
        <v>9.0526315789473681</v>
      </c>
      <c r="I96" s="135">
        <f t="shared" ref="I96:I101" si="41">C96+F96</f>
        <v>20738</v>
      </c>
      <c r="J96" s="135">
        <f>D96+G96</f>
        <v>628</v>
      </c>
      <c r="K96" s="53">
        <f>I96/J96</f>
        <v>33.022292993630572</v>
      </c>
    </row>
    <row r="97" spans="2:11" ht="12.75" customHeight="1">
      <c r="B97" s="55" t="s">
        <v>10</v>
      </c>
      <c r="C97" s="114">
        <v>14626</v>
      </c>
      <c r="D97" s="115">
        <v>278</v>
      </c>
      <c r="E97" s="58">
        <f t="shared" si="39"/>
        <v>52.611510791366904</v>
      </c>
      <c r="F97" s="121">
        <v>864</v>
      </c>
      <c r="G97" s="122">
        <v>49</v>
      </c>
      <c r="H97" s="59">
        <f t="shared" si="40"/>
        <v>17.632653061224488</v>
      </c>
      <c r="I97" s="136">
        <f t="shared" si="41"/>
        <v>15490</v>
      </c>
      <c r="J97" s="136">
        <f t="shared" ref="J97:J101" si="42">D97+G97</f>
        <v>327</v>
      </c>
      <c r="K97" s="61">
        <f t="shared" ref="K97:K101" si="43">I97/J97</f>
        <v>47.370030581039757</v>
      </c>
    </row>
    <row r="98" spans="2:11" ht="12.75" customHeight="1">
      <c r="B98" s="55" t="s">
        <v>11</v>
      </c>
      <c r="C98" s="114">
        <v>8173</v>
      </c>
      <c r="D98" s="115">
        <v>287</v>
      </c>
      <c r="E98" s="58">
        <f t="shared" si="39"/>
        <v>28.477351916376307</v>
      </c>
      <c r="F98" s="121">
        <v>850</v>
      </c>
      <c r="G98" s="122">
        <v>93</v>
      </c>
      <c r="H98" s="59">
        <f t="shared" si="40"/>
        <v>9.1397849462365599</v>
      </c>
      <c r="I98" s="136">
        <f t="shared" si="41"/>
        <v>9023</v>
      </c>
      <c r="J98" s="136">
        <f t="shared" si="42"/>
        <v>380</v>
      </c>
      <c r="K98" s="61">
        <f t="shared" si="43"/>
        <v>23.744736842105262</v>
      </c>
    </row>
    <row r="99" spans="2:11" ht="12.75" customHeight="1">
      <c r="B99" s="55" t="s">
        <v>12</v>
      </c>
      <c r="C99" s="114">
        <v>28717</v>
      </c>
      <c r="D99" s="115">
        <v>730</v>
      </c>
      <c r="E99" s="58">
        <f t="shared" si="39"/>
        <v>39.338356164383562</v>
      </c>
      <c r="F99" s="121">
        <v>2412</v>
      </c>
      <c r="G99" s="122">
        <v>155</v>
      </c>
      <c r="H99" s="59">
        <f t="shared" si="40"/>
        <v>15.561290322580644</v>
      </c>
      <c r="I99" s="136">
        <f t="shared" si="41"/>
        <v>31129</v>
      </c>
      <c r="J99" s="136">
        <f t="shared" si="42"/>
        <v>885</v>
      </c>
      <c r="K99" s="61">
        <f t="shared" si="43"/>
        <v>35.17401129943503</v>
      </c>
    </row>
    <row r="100" spans="2:11" ht="12.75" customHeight="1">
      <c r="B100" s="55" t="s">
        <v>21</v>
      </c>
      <c r="C100" s="114">
        <v>18846</v>
      </c>
      <c r="D100" s="115">
        <v>493</v>
      </c>
      <c r="E100" s="58">
        <f t="shared" si="39"/>
        <v>38.227180527383368</v>
      </c>
      <c r="F100" s="121">
        <v>947</v>
      </c>
      <c r="G100" s="122">
        <v>114</v>
      </c>
      <c r="H100" s="59">
        <f t="shared" si="40"/>
        <v>8.307017543859649</v>
      </c>
      <c r="I100" s="136">
        <f t="shared" si="41"/>
        <v>19793</v>
      </c>
      <c r="J100" s="136">
        <f t="shared" si="42"/>
        <v>607</v>
      </c>
      <c r="K100" s="61">
        <f t="shared" si="43"/>
        <v>32.60790774299835</v>
      </c>
    </row>
    <row r="101" spans="2:11" ht="12.75" customHeight="1">
      <c r="B101" s="55" t="s">
        <v>13</v>
      </c>
      <c r="C101" s="114">
        <v>85770</v>
      </c>
      <c r="D101" s="115">
        <v>2227</v>
      </c>
      <c r="E101" s="58">
        <f t="shared" si="39"/>
        <v>38.5136955545577</v>
      </c>
      <c r="F101" s="121">
        <v>2798</v>
      </c>
      <c r="G101" s="122">
        <v>199</v>
      </c>
      <c r="H101" s="59">
        <f t="shared" si="40"/>
        <v>14.060301507537689</v>
      </c>
      <c r="I101" s="136">
        <f t="shared" si="41"/>
        <v>88568</v>
      </c>
      <c r="J101" s="136">
        <f t="shared" si="42"/>
        <v>2426</v>
      </c>
      <c r="K101" s="61">
        <f t="shared" si="43"/>
        <v>36.507831821929102</v>
      </c>
    </row>
    <row r="102" spans="2:11" ht="12.75" customHeight="1">
      <c r="B102" s="63"/>
      <c r="C102" s="116"/>
      <c r="D102" s="117"/>
      <c r="E102" s="66"/>
      <c r="F102" s="123"/>
      <c r="G102" s="124"/>
      <c r="H102" s="67"/>
      <c r="I102" s="137"/>
      <c r="J102" s="137"/>
      <c r="K102" s="69"/>
    </row>
    <row r="103" spans="2:11" ht="12.75" customHeight="1">
      <c r="B103" s="140" t="s">
        <v>81</v>
      </c>
      <c r="C103" s="141">
        <f>122389+69070</f>
        <v>191459</v>
      </c>
      <c r="D103" s="141">
        <v>4884</v>
      </c>
      <c r="E103" s="143">
        <f>C103/D103</f>
        <v>39.201269451269454</v>
      </c>
      <c r="F103" s="141">
        <v>9443</v>
      </c>
      <c r="G103" s="141">
        <v>771</v>
      </c>
      <c r="H103" s="144">
        <f>F103/G103</f>
        <v>12.247730220492866</v>
      </c>
      <c r="I103" s="145">
        <f>C103+F103</f>
        <v>200902</v>
      </c>
      <c r="J103" s="145">
        <f>D103+G103</f>
        <v>5655</v>
      </c>
      <c r="K103" s="146">
        <f>I103/J103</f>
        <v>35.526436781609192</v>
      </c>
    </row>
    <row r="104" spans="2:11" ht="12.75" customHeight="1">
      <c r="B104" s="202" t="s">
        <v>78</v>
      </c>
      <c r="C104" s="205"/>
      <c r="D104" s="141"/>
      <c r="E104" s="143"/>
      <c r="F104" s="141"/>
      <c r="G104" s="141"/>
      <c r="H104" s="144"/>
      <c r="I104" s="145"/>
      <c r="J104" s="145"/>
      <c r="K104" s="146"/>
    </row>
    <row r="105" spans="2:11" ht="12.75" customHeight="1">
      <c r="B105" s="140" t="s">
        <v>79</v>
      </c>
      <c r="C105" s="205">
        <f>109923+65915</f>
        <v>175838</v>
      </c>
      <c r="D105" s="141">
        <f>SUM(D96:D101)</f>
        <v>4529</v>
      </c>
      <c r="E105" s="143"/>
      <c r="F105" s="141">
        <v>8903</v>
      </c>
      <c r="G105" s="141">
        <f>SUM(G96:G101)</f>
        <v>724</v>
      </c>
      <c r="H105" s="144"/>
      <c r="I105" s="145">
        <f>C105+F105</f>
        <v>184741</v>
      </c>
      <c r="J105" s="145">
        <f>D105+G105</f>
        <v>5253</v>
      </c>
      <c r="K105" s="146"/>
    </row>
    <row r="106" spans="2:11" ht="12.75" customHeight="1">
      <c r="B106" s="206" t="s">
        <v>80</v>
      </c>
      <c r="C106" s="118"/>
      <c r="D106" s="118"/>
      <c r="F106" s="125"/>
      <c r="G106" s="125"/>
      <c r="I106" s="200"/>
      <c r="J106" s="200"/>
    </row>
    <row r="107" spans="2:11" ht="5.4" customHeight="1">
      <c r="B107" s="207"/>
      <c r="C107" s="208"/>
      <c r="D107" s="208"/>
      <c r="E107" s="207"/>
      <c r="F107" s="209"/>
      <c r="G107" s="209"/>
      <c r="H107" s="207"/>
      <c r="I107" s="209"/>
      <c r="J107" s="209"/>
      <c r="K107" s="207"/>
    </row>
    <row r="108" spans="2:11" ht="5.4" customHeight="1">
      <c r="C108" s="118"/>
      <c r="D108" s="118"/>
      <c r="F108" s="125"/>
      <c r="G108" s="125"/>
      <c r="I108" s="125"/>
      <c r="J108" s="125"/>
    </row>
    <row r="109" spans="2:11" ht="12.75" customHeight="1">
      <c r="B109" s="22" t="s">
        <v>98</v>
      </c>
      <c r="C109" s="327" t="s">
        <v>75</v>
      </c>
      <c r="D109" s="327"/>
      <c r="E109" s="328"/>
      <c r="F109" s="329" t="s">
        <v>76</v>
      </c>
      <c r="G109" s="327"/>
      <c r="H109" s="328"/>
      <c r="I109" s="330" t="s">
        <v>77</v>
      </c>
      <c r="J109" s="331"/>
      <c r="K109" s="331"/>
    </row>
    <row r="110" spans="2:11" ht="12.75" customHeight="1">
      <c r="B110" s="94"/>
      <c r="C110" s="148" t="s">
        <v>5</v>
      </c>
      <c r="D110" s="149" t="s">
        <v>6</v>
      </c>
      <c r="E110" s="153" t="s">
        <v>7</v>
      </c>
      <c r="F110" s="150" t="s">
        <v>5</v>
      </c>
      <c r="G110" s="151" t="s">
        <v>6</v>
      </c>
      <c r="H110" s="154" t="s">
        <v>8</v>
      </c>
      <c r="I110" s="152" t="s">
        <v>5</v>
      </c>
      <c r="J110" s="152" t="s">
        <v>6</v>
      </c>
      <c r="K110" s="155" t="s">
        <v>8</v>
      </c>
    </row>
    <row r="111" spans="2:11" ht="12.75" customHeight="1">
      <c r="B111" s="177" t="s">
        <v>9</v>
      </c>
      <c r="C111" s="112">
        <v>9981</v>
      </c>
      <c r="D111" s="113">
        <v>207</v>
      </c>
      <c r="E111" s="178">
        <f t="shared" ref="E111:E116" si="44">C111/D111</f>
        <v>48.217391304347828</v>
      </c>
      <c r="F111" s="112">
        <v>9725</v>
      </c>
      <c r="G111" s="113">
        <v>307</v>
      </c>
      <c r="H111" s="179">
        <f t="shared" ref="H111:H116" si="45">F111/G111</f>
        <v>31.677524429967427</v>
      </c>
      <c r="I111" s="180">
        <f t="shared" ref="I111:I116" si="46">C111+F111</f>
        <v>19706</v>
      </c>
      <c r="J111" s="180">
        <f t="shared" ref="J111:J116" si="47">D111+G111</f>
        <v>514</v>
      </c>
      <c r="K111" s="181">
        <f t="shared" ref="K111:K116" si="48">I111/J111</f>
        <v>38.338521400778212</v>
      </c>
    </row>
    <row r="112" spans="2:11" ht="12.75" customHeight="1">
      <c r="B112" s="182" t="s">
        <v>10</v>
      </c>
      <c r="C112" s="114">
        <v>4826</v>
      </c>
      <c r="D112" s="115">
        <v>64</v>
      </c>
      <c r="E112" s="183">
        <f t="shared" si="44"/>
        <v>75.40625</v>
      </c>
      <c r="F112" s="114">
        <v>9800</v>
      </c>
      <c r="G112" s="115">
        <v>214</v>
      </c>
      <c r="H112" s="184">
        <f t="shared" si="45"/>
        <v>45.794392523364486</v>
      </c>
      <c r="I112" s="185">
        <f t="shared" si="46"/>
        <v>14626</v>
      </c>
      <c r="J112" s="185">
        <f t="shared" si="47"/>
        <v>278</v>
      </c>
      <c r="K112" s="186">
        <f t="shared" si="48"/>
        <v>52.611510791366904</v>
      </c>
    </row>
    <row r="113" spans="2:11" ht="12.75" customHeight="1">
      <c r="B113" s="182" t="s">
        <v>11</v>
      </c>
      <c r="C113" s="114">
        <v>4798</v>
      </c>
      <c r="D113" s="115">
        <v>147</v>
      </c>
      <c r="E113" s="183">
        <f t="shared" si="44"/>
        <v>32.639455782312922</v>
      </c>
      <c r="F113" s="114">
        <v>3375</v>
      </c>
      <c r="G113" s="115">
        <v>140</v>
      </c>
      <c r="H113" s="184">
        <f t="shared" si="45"/>
        <v>24.107142857142858</v>
      </c>
      <c r="I113" s="185">
        <f t="shared" si="46"/>
        <v>8173</v>
      </c>
      <c r="J113" s="185">
        <f t="shared" si="47"/>
        <v>287</v>
      </c>
      <c r="K113" s="186">
        <f t="shared" si="48"/>
        <v>28.477351916376307</v>
      </c>
    </row>
    <row r="114" spans="2:11" ht="12.75" customHeight="1">
      <c r="B114" s="182" t="s">
        <v>12</v>
      </c>
      <c r="C114" s="114">
        <v>13014</v>
      </c>
      <c r="D114" s="115">
        <v>295</v>
      </c>
      <c r="E114" s="183">
        <f t="shared" si="44"/>
        <v>44.115254237288134</v>
      </c>
      <c r="F114" s="114">
        <v>15703</v>
      </c>
      <c r="G114" s="115">
        <v>435</v>
      </c>
      <c r="H114" s="184">
        <f t="shared" si="45"/>
        <v>36.098850574712642</v>
      </c>
      <c r="I114" s="185">
        <f t="shared" si="46"/>
        <v>28717</v>
      </c>
      <c r="J114" s="185">
        <f t="shared" si="47"/>
        <v>730</v>
      </c>
      <c r="K114" s="186">
        <f t="shared" si="48"/>
        <v>39.338356164383562</v>
      </c>
    </row>
    <row r="115" spans="2:11" ht="12.75" customHeight="1">
      <c r="B115" s="182" t="s">
        <v>21</v>
      </c>
      <c r="C115" s="114">
        <v>10766</v>
      </c>
      <c r="D115" s="115">
        <v>258</v>
      </c>
      <c r="E115" s="183">
        <f t="shared" si="44"/>
        <v>41.728682170542633</v>
      </c>
      <c r="F115" s="114">
        <v>8080</v>
      </c>
      <c r="G115" s="115">
        <v>235</v>
      </c>
      <c r="H115" s="184">
        <f t="shared" si="45"/>
        <v>34.382978723404257</v>
      </c>
      <c r="I115" s="185">
        <f t="shared" si="46"/>
        <v>18846</v>
      </c>
      <c r="J115" s="185">
        <f t="shared" si="47"/>
        <v>493</v>
      </c>
      <c r="K115" s="186">
        <f t="shared" si="48"/>
        <v>38.227180527383368</v>
      </c>
    </row>
    <row r="116" spans="2:11" ht="12.75" customHeight="1">
      <c r="B116" s="182" t="s">
        <v>13</v>
      </c>
      <c r="C116" s="114">
        <v>66538</v>
      </c>
      <c r="D116" s="115">
        <v>1557</v>
      </c>
      <c r="E116" s="183">
        <f t="shared" si="44"/>
        <v>42.734746307000641</v>
      </c>
      <c r="F116" s="114">
        <v>19232</v>
      </c>
      <c r="G116" s="115">
        <v>670</v>
      </c>
      <c r="H116" s="184">
        <f t="shared" si="45"/>
        <v>28.704477611940298</v>
      </c>
      <c r="I116" s="185">
        <f t="shared" si="46"/>
        <v>85770</v>
      </c>
      <c r="J116" s="185">
        <f t="shared" si="47"/>
        <v>2227</v>
      </c>
      <c r="K116" s="186">
        <f t="shared" si="48"/>
        <v>38.5136955545577</v>
      </c>
    </row>
    <row r="117" spans="2:11" ht="12.75" customHeight="1">
      <c r="B117" s="187"/>
      <c r="C117" s="116"/>
      <c r="D117" s="117"/>
      <c r="E117" s="188"/>
      <c r="F117" s="116"/>
      <c r="G117" s="117"/>
      <c r="H117" s="189"/>
      <c r="I117" s="174"/>
      <c r="J117" s="174"/>
      <c r="K117" s="190"/>
    </row>
    <row r="118" spans="2:11" ht="12.75" customHeight="1">
      <c r="B118" s="140" t="s">
        <v>81</v>
      </c>
      <c r="C118" s="173">
        <v>122389</v>
      </c>
      <c r="D118" s="141">
        <v>2791</v>
      </c>
      <c r="E118" s="143">
        <f t="shared" ref="E118" si="49">C118/D118</f>
        <v>43.851307774991042</v>
      </c>
      <c r="F118" s="141">
        <v>69070</v>
      </c>
      <c r="G118" s="141">
        <v>2093</v>
      </c>
      <c r="H118" s="144">
        <f t="shared" ref="H118" si="50">F118/G118</f>
        <v>33.000477783086481</v>
      </c>
      <c r="I118" s="145">
        <f t="shared" ref="I118" si="51">C118+F118</f>
        <v>191459</v>
      </c>
      <c r="J118" s="236">
        <f>D118+G118</f>
        <v>4884</v>
      </c>
      <c r="K118" s="146">
        <f t="shared" ref="K118" si="52">I118/J118</f>
        <v>39.201269451269454</v>
      </c>
    </row>
    <row r="119" spans="2:11" ht="12.75" customHeight="1">
      <c r="B119" s="202" t="s">
        <v>78</v>
      </c>
      <c r="C119" s="114"/>
      <c r="D119" s="114"/>
      <c r="E119" s="183"/>
      <c r="F119" s="114"/>
      <c r="G119" s="114"/>
      <c r="H119" s="184"/>
      <c r="I119" s="185"/>
      <c r="J119" s="185"/>
      <c r="K119" s="186"/>
    </row>
    <row r="120" spans="2:11" ht="12.75" customHeight="1">
      <c r="B120" s="140" t="s">
        <v>79</v>
      </c>
      <c r="C120" s="173">
        <f>SUM(C111:C116)</f>
        <v>109923</v>
      </c>
      <c r="D120" s="141">
        <f>SUM(D111:D116)</f>
        <v>2528</v>
      </c>
      <c r="E120" s="143"/>
      <c r="F120" s="141">
        <f>SUM(F111:F116)</f>
        <v>65915</v>
      </c>
      <c r="G120" s="141">
        <f>SUM(G111:G116)</f>
        <v>2001</v>
      </c>
      <c r="H120" s="144"/>
      <c r="I120" s="145">
        <f>C120+F120</f>
        <v>175838</v>
      </c>
      <c r="J120" s="145">
        <f>D120+G120</f>
        <v>4529</v>
      </c>
      <c r="K120" s="146"/>
    </row>
    <row r="121" spans="2:11" ht="12.75" customHeight="1">
      <c r="B121" s="210" t="s">
        <v>80</v>
      </c>
      <c r="C121" s="116"/>
      <c r="D121" s="116"/>
      <c r="F121" s="116"/>
      <c r="G121" s="116"/>
      <c r="I121" s="174"/>
      <c r="J121" s="174"/>
      <c r="K121" s="175"/>
    </row>
    <row r="122" spans="2:11" ht="12.75" customHeight="1">
      <c r="B122" s="211"/>
      <c r="C122" s="118"/>
      <c r="D122" s="118"/>
      <c r="F122" s="118"/>
      <c r="G122" s="118"/>
      <c r="I122" s="118"/>
      <c r="J122" s="118"/>
    </row>
    <row r="123" spans="2:11" ht="12.75" customHeight="1">
      <c r="B123" s="211"/>
      <c r="C123" s="118"/>
      <c r="D123" s="118"/>
      <c r="F123" s="118"/>
      <c r="G123" s="118"/>
      <c r="I123" s="118"/>
      <c r="J123" s="118"/>
    </row>
    <row r="124" spans="2:11" ht="12.75" customHeight="1">
      <c r="B124" s="85"/>
      <c r="C124" s="85"/>
      <c r="D124" s="85"/>
      <c r="E124" s="85"/>
      <c r="F124" s="85"/>
      <c r="G124" s="85"/>
      <c r="H124" s="85"/>
      <c r="I124" s="85"/>
      <c r="J124" s="85"/>
      <c r="K124" s="85"/>
    </row>
    <row r="125" spans="2:11" ht="12.75" customHeight="1">
      <c r="B125" s="22" t="s">
        <v>85</v>
      </c>
      <c r="C125" s="327" t="s">
        <v>2</v>
      </c>
      <c r="D125" s="327"/>
      <c r="E125" s="328"/>
      <c r="F125" s="329" t="s">
        <v>3</v>
      </c>
      <c r="G125" s="327"/>
      <c r="H125" s="328"/>
      <c r="I125" s="330" t="s">
        <v>4</v>
      </c>
      <c r="J125" s="331"/>
      <c r="K125" s="331"/>
    </row>
    <row r="126" spans="2:11" ht="12.75" customHeight="1">
      <c r="B126" s="94"/>
      <c r="C126" s="148" t="s">
        <v>5</v>
      </c>
      <c r="D126" s="149" t="s">
        <v>6</v>
      </c>
      <c r="E126" s="153" t="s">
        <v>7</v>
      </c>
      <c r="F126" s="150" t="s">
        <v>5</v>
      </c>
      <c r="G126" s="151" t="s">
        <v>6</v>
      </c>
      <c r="H126" s="154" t="s">
        <v>8</v>
      </c>
      <c r="I126" s="152" t="s">
        <v>5</v>
      </c>
      <c r="J126" s="152" t="s">
        <v>6</v>
      </c>
      <c r="K126" s="155" t="s">
        <v>8</v>
      </c>
    </row>
    <row r="127" spans="2:11" ht="12.75" customHeight="1">
      <c r="B127" s="47" t="s">
        <v>9</v>
      </c>
      <c r="C127" s="112">
        <v>19917</v>
      </c>
      <c r="D127" s="113">
        <v>497</v>
      </c>
      <c r="E127" s="50">
        <f t="shared" ref="E127:E132" si="53">C127/D127</f>
        <v>40.074446680080484</v>
      </c>
      <c r="F127" s="119">
        <v>1099</v>
      </c>
      <c r="G127" s="120">
        <v>119</v>
      </c>
      <c r="H127" s="51">
        <f t="shared" ref="H127:H132" si="54">F127/G127</f>
        <v>9.235294117647058</v>
      </c>
      <c r="I127" s="135">
        <f t="shared" ref="I127:I132" si="55">C127+F127</f>
        <v>21016</v>
      </c>
      <c r="J127" s="135">
        <f t="shared" ref="J127:J132" si="56">D127+G127</f>
        <v>616</v>
      </c>
      <c r="K127" s="53">
        <f t="shared" ref="K127:K132" si="57">I127/J127</f>
        <v>34.116883116883116</v>
      </c>
    </row>
    <row r="128" spans="2:11" ht="12.75" customHeight="1">
      <c r="B128" s="55" t="s">
        <v>10</v>
      </c>
      <c r="C128" s="114">
        <v>14625</v>
      </c>
      <c r="D128" s="115">
        <v>263</v>
      </c>
      <c r="E128" s="58">
        <f t="shared" si="53"/>
        <v>55.608365019011408</v>
      </c>
      <c r="F128" s="121">
        <v>814</v>
      </c>
      <c r="G128" s="122">
        <v>41</v>
      </c>
      <c r="H128" s="59">
        <f t="shared" si="54"/>
        <v>19.853658536585368</v>
      </c>
      <c r="I128" s="136">
        <f t="shared" si="55"/>
        <v>15439</v>
      </c>
      <c r="J128" s="136">
        <f t="shared" si="56"/>
        <v>304</v>
      </c>
      <c r="K128" s="61">
        <f t="shared" si="57"/>
        <v>50.786184210526315</v>
      </c>
    </row>
    <row r="129" spans="2:11" ht="12.75" customHeight="1">
      <c r="B129" s="55" t="s">
        <v>11</v>
      </c>
      <c r="C129" s="114">
        <v>8748</v>
      </c>
      <c r="D129" s="115">
        <v>300</v>
      </c>
      <c r="E129" s="58">
        <f t="shared" si="53"/>
        <v>29.16</v>
      </c>
      <c r="F129" s="121">
        <v>851</v>
      </c>
      <c r="G129" s="122">
        <v>88</v>
      </c>
      <c r="H129" s="59">
        <f t="shared" si="54"/>
        <v>9.670454545454545</v>
      </c>
      <c r="I129" s="136">
        <f t="shared" si="55"/>
        <v>9599</v>
      </c>
      <c r="J129" s="136">
        <f t="shared" si="56"/>
        <v>388</v>
      </c>
      <c r="K129" s="61">
        <f t="shared" si="57"/>
        <v>24.739690721649485</v>
      </c>
    </row>
    <row r="130" spans="2:11" ht="12.75" customHeight="1">
      <c r="B130" s="55" t="s">
        <v>12</v>
      </c>
      <c r="C130" s="114">
        <v>28626</v>
      </c>
      <c r="D130" s="115">
        <v>726</v>
      </c>
      <c r="E130" s="58">
        <f t="shared" si="53"/>
        <v>39.429752066115704</v>
      </c>
      <c r="F130" s="121">
        <v>2678</v>
      </c>
      <c r="G130" s="122">
        <v>156</v>
      </c>
      <c r="H130" s="59">
        <f t="shared" si="54"/>
        <v>17.166666666666668</v>
      </c>
      <c r="I130" s="136">
        <f t="shared" si="55"/>
        <v>31304</v>
      </c>
      <c r="J130" s="136">
        <f t="shared" si="56"/>
        <v>882</v>
      </c>
      <c r="K130" s="61">
        <f t="shared" si="57"/>
        <v>35.492063492063494</v>
      </c>
    </row>
    <row r="131" spans="2:11" ht="12.75" customHeight="1">
      <c r="B131" s="55" t="s">
        <v>21</v>
      </c>
      <c r="C131" s="114">
        <v>20271</v>
      </c>
      <c r="D131" s="115">
        <v>492</v>
      </c>
      <c r="E131" s="58">
        <f t="shared" si="53"/>
        <v>41.201219512195124</v>
      </c>
      <c r="F131" s="121">
        <v>978</v>
      </c>
      <c r="G131" s="122">
        <v>126</v>
      </c>
      <c r="H131" s="59">
        <f t="shared" si="54"/>
        <v>7.7619047619047619</v>
      </c>
      <c r="I131" s="136">
        <f t="shared" si="55"/>
        <v>21249</v>
      </c>
      <c r="J131" s="136">
        <f t="shared" si="56"/>
        <v>618</v>
      </c>
      <c r="K131" s="61">
        <f t="shared" si="57"/>
        <v>34.383495145631066</v>
      </c>
    </row>
    <row r="132" spans="2:11" ht="12.75" customHeight="1">
      <c r="B132" s="55" t="s">
        <v>13</v>
      </c>
      <c r="C132" s="114">
        <v>90212</v>
      </c>
      <c r="D132" s="115">
        <v>2340</v>
      </c>
      <c r="E132" s="58">
        <f t="shared" si="53"/>
        <v>38.552136752136754</v>
      </c>
      <c r="F132" s="121">
        <v>2959</v>
      </c>
      <c r="G132" s="122">
        <v>200</v>
      </c>
      <c r="H132" s="59">
        <f t="shared" si="54"/>
        <v>14.795</v>
      </c>
      <c r="I132" s="136">
        <f t="shared" si="55"/>
        <v>93171</v>
      </c>
      <c r="J132" s="136">
        <f t="shared" si="56"/>
        <v>2540</v>
      </c>
      <c r="K132" s="61">
        <f t="shared" si="57"/>
        <v>36.681496062992125</v>
      </c>
    </row>
    <row r="133" spans="2:11" ht="12.75" customHeight="1">
      <c r="B133" s="63"/>
      <c r="C133" s="116"/>
      <c r="D133" s="117"/>
      <c r="E133" s="66"/>
      <c r="F133" s="123"/>
      <c r="G133" s="124"/>
      <c r="H133" s="67"/>
      <c r="I133" s="137"/>
      <c r="J133" s="137"/>
      <c r="K133" s="69"/>
    </row>
    <row r="134" spans="2:11" ht="12.75" customHeight="1">
      <c r="B134" s="140" t="s">
        <v>81</v>
      </c>
      <c r="C134" s="141">
        <v>197135</v>
      </c>
      <c r="D134" s="141">
        <v>4956</v>
      </c>
      <c r="E134" s="143">
        <f>C134/D134</f>
        <v>39.777037933817596</v>
      </c>
      <c r="F134" s="141">
        <v>10020</v>
      </c>
      <c r="G134" s="141">
        <v>778</v>
      </c>
      <c r="H134" s="144">
        <f>F134/G134</f>
        <v>12.879177377892031</v>
      </c>
      <c r="I134" s="145">
        <f>C134+F134</f>
        <v>207155</v>
      </c>
      <c r="J134" s="145">
        <f>D134+G134</f>
        <v>5734</v>
      </c>
      <c r="K134" s="146">
        <f>I134/J134</f>
        <v>36.127485176142308</v>
      </c>
    </row>
    <row r="135" spans="2:11" ht="12.75" customHeight="1">
      <c r="B135" s="202" t="s">
        <v>78</v>
      </c>
      <c r="C135" s="205"/>
      <c r="D135" s="141"/>
      <c r="E135" s="143"/>
      <c r="F135" s="141"/>
      <c r="G135" s="141"/>
      <c r="H135" s="144"/>
      <c r="I135" s="145"/>
      <c r="J135" s="145"/>
      <c r="K135" s="146"/>
    </row>
    <row r="136" spans="2:11" ht="12.75" customHeight="1">
      <c r="B136" s="140" t="s">
        <v>79</v>
      </c>
      <c r="C136" s="205">
        <f>SUM(C127:C132)</f>
        <v>182399</v>
      </c>
      <c r="D136" s="141">
        <f>SUM(D127:D132)</f>
        <v>4618</v>
      </c>
      <c r="E136" s="143"/>
      <c r="F136" s="141">
        <f>SUM(F127:F132)</f>
        <v>9379</v>
      </c>
      <c r="G136" s="141">
        <f>SUM(G127:G132)</f>
        <v>730</v>
      </c>
      <c r="H136" s="144"/>
      <c r="I136" s="145">
        <f>C136+F136</f>
        <v>191778</v>
      </c>
      <c r="J136" s="145">
        <f>D136+G136</f>
        <v>5348</v>
      </c>
      <c r="K136" s="146"/>
    </row>
    <row r="137" spans="2:11" ht="12.75" customHeight="1">
      <c r="B137" s="206" t="s">
        <v>80</v>
      </c>
      <c r="C137" s="118"/>
      <c r="D137" s="118"/>
      <c r="F137" s="125"/>
      <c r="G137" s="125"/>
      <c r="I137" s="200"/>
      <c r="J137" s="200"/>
    </row>
    <row r="138" spans="2:11" ht="5.4" customHeight="1">
      <c r="B138" s="207"/>
      <c r="C138" s="208"/>
      <c r="D138" s="208"/>
      <c r="E138" s="207"/>
      <c r="F138" s="209"/>
      <c r="G138" s="209"/>
      <c r="H138" s="207"/>
      <c r="I138" s="209"/>
      <c r="J138" s="209"/>
      <c r="K138" s="207"/>
    </row>
    <row r="139" spans="2:11" ht="5.4" customHeight="1">
      <c r="C139" s="118"/>
      <c r="D139" s="118"/>
      <c r="F139" s="125"/>
      <c r="G139" s="125"/>
      <c r="I139" s="125"/>
      <c r="J139" s="125"/>
    </row>
    <row r="140" spans="2:11" ht="12.75" customHeight="1">
      <c r="B140" s="22" t="s">
        <v>85</v>
      </c>
      <c r="C140" s="327" t="s">
        <v>75</v>
      </c>
      <c r="D140" s="327"/>
      <c r="E140" s="328"/>
      <c r="F140" s="329" t="s">
        <v>76</v>
      </c>
      <c r="G140" s="327"/>
      <c r="H140" s="328"/>
      <c r="I140" s="330" t="s">
        <v>77</v>
      </c>
      <c r="J140" s="331"/>
      <c r="K140" s="331"/>
    </row>
    <row r="141" spans="2:11" ht="12.75" customHeight="1">
      <c r="B141" s="94"/>
      <c r="C141" s="148" t="s">
        <v>5</v>
      </c>
      <c r="D141" s="149" t="s">
        <v>6</v>
      </c>
      <c r="E141" s="153" t="s">
        <v>7</v>
      </c>
      <c r="F141" s="150" t="s">
        <v>5</v>
      </c>
      <c r="G141" s="151" t="s">
        <v>6</v>
      </c>
      <c r="H141" s="154" t="s">
        <v>8</v>
      </c>
      <c r="I141" s="152" t="s">
        <v>5</v>
      </c>
      <c r="J141" s="152" t="s">
        <v>6</v>
      </c>
      <c r="K141" s="155" t="s">
        <v>8</v>
      </c>
    </row>
    <row r="142" spans="2:11" ht="12.75" customHeight="1">
      <c r="B142" s="177" t="s">
        <v>9</v>
      </c>
      <c r="C142" s="112">
        <v>10362</v>
      </c>
      <c r="D142" s="113">
        <v>191</v>
      </c>
      <c r="E142" s="178">
        <f t="shared" ref="E142:E147" si="58">C142/D142</f>
        <v>54.251308900523561</v>
      </c>
      <c r="F142" s="112">
        <v>9555</v>
      </c>
      <c r="G142" s="113">
        <v>306</v>
      </c>
      <c r="H142" s="179">
        <f t="shared" ref="H142:H147" si="59">F142/G142</f>
        <v>31.225490196078432</v>
      </c>
      <c r="I142" s="180">
        <f t="shared" ref="I142:I147" si="60">C142+F142</f>
        <v>19917</v>
      </c>
      <c r="J142" s="180">
        <f t="shared" ref="J142:J147" si="61">D142+G142</f>
        <v>497</v>
      </c>
      <c r="K142" s="181">
        <f t="shared" ref="K142:K147" si="62">I142/J142</f>
        <v>40.074446680080484</v>
      </c>
    </row>
    <row r="143" spans="2:11" ht="12.75" customHeight="1">
      <c r="B143" s="182" t="s">
        <v>10</v>
      </c>
      <c r="C143" s="114">
        <v>5102</v>
      </c>
      <c r="D143" s="115">
        <v>62</v>
      </c>
      <c r="E143" s="183">
        <f t="shared" si="58"/>
        <v>82.290322580645167</v>
      </c>
      <c r="F143" s="114">
        <v>9523</v>
      </c>
      <c r="G143" s="115">
        <v>201</v>
      </c>
      <c r="H143" s="184">
        <f t="shared" si="59"/>
        <v>47.378109452736318</v>
      </c>
      <c r="I143" s="185">
        <f t="shared" si="60"/>
        <v>14625</v>
      </c>
      <c r="J143" s="185">
        <f t="shared" si="61"/>
        <v>263</v>
      </c>
      <c r="K143" s="186">
        <f t="shared" si="62"/>
        <v>55.608365019011408</v>
      </c>
    </row>
    <row r="144" spans="2:11" ht="12.75" customHeight="1">
      <c r="B144" s="182" t="s">
        <v>11</v>
      </c>
      <c r="C144" s="114">
        <v>5143</v>
      </c>
      <c r="D144" s="115">
        <v>149</v>
      </c>
      <c r="E144" s="183">
        <f t="shared" si="58"/>
        <v>34.516778523489933</v>
      </c>
      <c r="F144" s="114">
        <v>3605</v>
      </c>
      <c r="G144" s="115">
        <v>151</v>
      </c>
      <c r="H144" s="184">
        <f t="shared" si="59"/>
        <v>23.874172185430464</v>
      </c>
      <c r="I144" s="185">
        <f t="shared" si="60"/>
        <v>8748</v>
      </c>
      <c r="J144" s="185">
        <f t="shared" si="61"/>
        <v>300</v>
      </c>
      <c r="K144" s="186">
        <f t="shared" si="62"/>
        <v>29.16</v>
      </c>
    </row>
    <row r="145" spans="2:11" ht="12.75" customHeight="1">
      <c r="B145" s="182" t="s">
        <v>12</v>
      </c>
      <c r="C145" s="114">
        <v>13286</v>
      </c>
      <c r="D145" s="115">
        <v>307</v>
      </c>
      <c r="E145" s="183">
        <f t="shared" si="58"/>
        <v>43.276872964169378</v>
      </c>
      <c r="F145" s="114">
        <v>15340</v>
      </c>
      <c r="G145" s="115">
        <v>419</v>
      </c>
      <c r="H145" s="184">
        <f t="shared" si="59"/>
        <v>36.610978520286395</v>
      </c>
      <c r="I145" s="185">
        <f t="shared" si="60"/>
        <v>28626</v>
      </c>
      <c r="J145" s="185">
        <f t="shared" si="61"/>
        <v>726</v>
      </c>
      <c r="K145" s="186">
        <f t="shared" si="62"/>
        <v>39.429752066115704</v>
      </c>
    </row>
    <row r="146" spans="2:11" ht="12.75" customHeight="1">
      <c r="B146" s="182" t="s">
        <v>21</v>
      </c>
      <c r="C146" s="114">
        <v>11705</v>
      </c>
      <c r="D146" s="115">
        <v>257</v>
      </c>
      <c r="E146" s="183">
        <f t="shared" si="58"/>
        <v>45.54474708171206</v>
      </c>
      <c r="F146" s="114">
        <v>8566</v>
      </c>
      <c r="G146" s="115">
        <v>235</v>
      </c>
      <c r="H146" s="184">
        <f t="shared" si="59"/>
        <v>36.451063829787238</v>
      </c>
      <c r="I146" s="185">
        <f t="shared" si="60"/>
        <v>20271</v>
      </c>
      <c r="J146" s="185">
        <f t="shared" si="61"/>
        <v>492</v>
      </c>
      <c r="K146" s="186">
        <f t="shared" si="62"/>
        <v>41.201219512195124</v>
      </c>
    </row>
    <row r="147" spans="2:11" ht="12.75" customHeight="1">
      <c r="B147" s="182" t="s">
        <v>13</v>
      </c>
      <c r="C147" s="114">
        <v>69595</v>
      </c>
      <c r="D147" s="115">
        <f>1584+57</f>
        <v>1641</v>
      </c>
      <c r="E147" s="183">
        <f t="shared" si="58"/>
        <v>42.410115783059112</v>
      </c>
      <c r="F147" s="114">
        <v>20617</v>
      </c>
      <c r="G147" s="115">
        <v>699</v>
      </c>
      <c r="H147" s="184">
        <f t="shared" si="59"/>
        <v>29.494992846924177</v>
      </c>
      <c r="I147" s="185">
        <f t="shared" si="60"/>
        <v>90212</v>
      </c>
      <c r="J147" s="185">
        <f t="shared" si="61"/>
        <v>2340</v>
      </c>
      <c r="K147" s="186">
        <f t="shared" si="62"/>
        <v>38.552136752136754</v>
      </c>
    </row>
    <row r="148" spans="2:11" ht="12.75" customHeight="1">
      <c r="B148" s="187"/>
      <c r="C148" s="116"/>
      <c r="D148" s="117"/>
      <c r="E148" s="188"/>
      <c r="F148" s="116"/>
      <c r="G148" s="117"/>
      <c r="H148" s="189"/>
      <c r="I148" s="174"/>
      <c r="J148" s="174"/>
      <c r="K148" s="190"/>
    </row>
    <row r="149" spans="2:11" ht="12.75" customHeight="1">
      <c r="B149" s="140" t="s">
        <v>81</v>
      </c>
      <c r="C149" s="173">
        <v>126767</v>
      </c>
      <c r="D149" s="141">
        <v>2844</v>
      </c>
      <c r="E149" s="143">
        <f t="shared" ref="E149" si="63">C149/D149</f>
        <v>44.573488045007032</v>
      </c>
      <c r="F149" s="141">
        <v>70368</v>
      </c>
      <c r="G149" s="141">
        <v>2112</v>
      </c>
      <c r="H149" s="144">
        <f t="shared" ref="H149" si="64">F149/G149</f>
        <v>33.31818181818182</v>
      </c>
      <c r="I149" s="145">
        <f t="shared" ref="I149" si="65">C149+F149</f>
        <v>197135</v>
      </c>
      <c r="J149" s="236">
        <f>D149+G149</f>
        <v>4956</v>
      </c>
      <c r="K149" s="146">
        <f t="shared" ref="K149" si="66">I149/J149</f>
        <v>39.777037933817596</v>
      </c>
    </row>
    <row r="150" spans="2:11" ht="12.75" customHeight="1">
      <c r="B150" s="202" t="s">
        <v>78</v>
      </c>
      <c r="C150" s="114"/>
      <c r="D150" s="114"/>
      <c r="E150" s="183"/>
      <c r="F150" s="114"/>
      <c r="G150" s="114"/>
      <c r="H150" s="184"/>
      <c r="I150" s="185"/>
      <c r="J150" s="185"/>
      <c r="K150" s="186"/>
    </row>
    <row r="151" spans="2:11" ht="12.75" customHeight="1">
      <c r="B151" s="140" t="s">
        <v>79</v>
      </c>
      <c r="C151" s="173">
        <f>SUM(C142:C147)</f>
        <v>115193</v>
      </c>
      <c r="D151" s="141">
        <f>SUM(D142:D147)</f>
        <v>2607</v>
      </c>
      <c r="E151" s="143"/>
      <c r="F151" s="141">
        <f>SUM(F142:F147)</f>
        <v>67206</v>
      </c>
      <c r="G151" s="141">
        <f>SUM(G142:G147)</f>
        <v>2011</v>
      </c>
      <c r="H151" s="144"/>
      <c r="I151" s="145">
        <f>C151+F151</f>
        <v>182399</v>
      </c>
      <c r="J151" s="145">
        <f>D151+G151</f>
        <v>4618</v>
      </c>
      <c r="K151" s="146"/>
    </row>
    <row r="152" spans="2:11" ht="12.75" customHeight="1">
      <c r="B152" s="210" t="s">
        <v>80</v>
      </c>
      <c r="C152" s="116"/>
      <c r="D152" s="116"/>
      <c r="F152" s="116"/>
      <c r="G152" s="116"/>
      <c r="I152" s="174"/>
      <c r="J152" s="174"/>
      <c r="K152" s="175"/>
    </row>
    <row r="153" spans="2:11" ht="12.75" customHeight="1">
      <c r="B153" s="211"/>
      <c r="C153" s="118"/>
      <c r="D153" s="118"/>
      <c r="F153" s="118"/>
      <c r="G153" s="118"/>
      <c r="I153" s="118"/>
      <c r="J153" s="118"/>
    </row>
    <row r="154" spans="2:11" ht="12.75" customHeight="1">
      <c r="B154" s="211"/>
      <c r="C154" s="118"/>
      <c r="D154" s="118"/>
      <c r="F154" s="118"/>
      <c r="G154" s="118"/>
      <c r="I154" s="118"/>
      <c r="J154" s="118"/>
    </row>
    <row r="155" spans="2:11" ht="12.75" customHeight="1">
      <c r="B155" s="85"/>
      <c r="C155" s="85"/>
      <c r="D155" s="85"/>
      <c r="E155" s="85"/>
      <c r="F155" s="85"/>
      <c r="G155" s="85"/>
      <c r="H155" s="85"/>
      <c r="I155" s="85"/>
      <c r="J155" s="85"/>
      <c r="K155" s="85"/>
    </row>
    <row r="156" spans="2:11" ht="12.75" customHeight="1">
      <c r="B156" s="22" t="s">
        <v>73</v>
      </c>
      <c r="C156" s="327" t="s">
        <v>2</v>
      </c>
      <c r="D156" s="327"/>
      <c r="E156" s="328"/>
      <c r="F156" s="329" t="s">
        <v>3</v>
      </c>
      <c r="G156" s="327"/>
      <c r="H156" s="328"/>
      <c r="I156" s="330" t="s">
        <v>4</v>
      </c>
      <c r="J156" s="331"/>
      <c r="K156" s="331"/>
    </row>
    <row r="157" spans="2:11" ht="12.75" customHeight="1">
      <c r="B157" s="94"/>
      <c r="C157" s="148" t="s">
        <v>5</v>
      </c>
      <c r="D157" s="149" t="s">
        <v>6</v>
      </c>
      <c r="E157" s="153" t="s">
        <v>7</v>
      </c>
      <c r="F157" s="150" t="s">
        <v>5</v>
      </c>
      <c r="G157" s="151" t="s">
        <v>6</v>
      </c>
      <c r="H157" s="154" t="s">
        <v>8</v>
      </c>
      <c r="I157" s="152" t="s">
        <v>5</v>
      </c>
      <c r="J157" s="152" t="s">
        <v>6</v>
      </c>
      <c r="K157" s="155" t="s">
        <v>8</v>
      </c>
    </row>
    <row r="158" spans="2:11" ht="12.75" customHeight="1">
      <c r="B158" s="47" t="s">
        <v>9</v>
      </c>
      <c r="C158" s="112">
        <v>20698</v>
      </c>
      <c r="D158" s="113">
        <v>517</v>
      </c>
      <c r="E158" s="50">
        <f t="shared" ref="E158:E163" si="67">C158/D158</f>
        <v>40.034816247582206</v>
      </c>
      <c r="F158" s="119">
        <v>1063</v>
      </c>
      <c r="G158" s="120">
        <v>100</v>
      </c>
      <c r="H158" s="51">
        <f t="shared" ref="H158:H163" si="68">F158/G158</f>
        <v>10.63</v>
      </c>
      <c r="I158" s="135">
        <f t="shared" ref="I158:I163" si="69">C158+F158</f>
        <v>21761</v>
      </c>
      <c r="J158" s="135">
        <f t="shared" ref="J158:J163" si="70">D158+G158</f>
        <v>617</v>
      </c>
      <c r="K158" s="53">
        <f t="shared" ref="K158:K163" si="71">I158/J158</f>
        <v>35.269043760129662</v>
      </c>
    </row>
    <row r="159" spans="2:11" ht="12.75" customHeight="1">
      <c r="B159" s="55" t="s">
        <v>10</v>
      </c>
      <c r="C159" s="114">
        <v>13782</v>
      </c>
      <c r="D159" s="115">
        <v>251</v>
      </c>
      <c r="E159" s="58">
        <f t="shared" si="67"/>
        <v>54.908366533864545</v>
      </c>
      <c r="F159" s="121">
        <v>845</v>
      </c>
      <c r="G159" s="122">
        <v>43</v>
      </c>
      <c r="H159" s="59">
        <f t="shared" si="68"/>
        <v>19.651162790697676</v>
      </c>
      <c r="I159" s="136">
        <f t="shared" si="69"/>
        <v>14627</v>
      </c>
      <c r="J159" s="136">
        <f t="shared" si="70"/>
        <v>294</v>
      </c>
      <c r="K159" s="61">
        <f t="shared" si="71"/>
        <v>49.751700680272108</v>
      </c>
    </row>
    <row r="160" spans="2:11" ht="12.75" customHeight="1">
      <c r="B160" s="55" t="s">
        <v>11</v>
      </c>
      <c r="C160" s="114">
        <v>8473</v>
      </c>
      <c r="D160" s="115">
        <v>289</v>
      </c>
      <c r="E160" s="58">
        <f t="shared" si="67"/>
        <v>29.318339100346019</v>
      </c>
      <c r="F160" s="121">
        <v>815</v>
      </c>
      <c r="G160" s="122">
        <v>96</v>
      </c>
      <c r="H160" s="59">
        <f t="shared" si="68"/>
        <v>8.4895833333333339</v>
      </c>
      <c r="I160" s="136">
        <f t="shared" si="69"/>
        <v>9288</v>
      </c>
      <c r="J160" s="136">
        <f t="shared" si="70"/>
        <v>385</v>
      </c>
      <c r="K160" s="61">
        <f t="shared" si="71"/>
        <v>24.124675324675323</v>
      </c>
    </row>
    <row r="161" spans="2:11" ht="12.75" customHeight="1">
      <c r="B161" s="55" t="s">
        <v>12</v>
      </c>
      <c r="C161" s="114">
        <v>28096</v>
      </c>
      <c r="D161" s="115">
        <v>710</v>
      </c>
      <c r="E161" s="58">
        <f t="shared" si="67"/>
        <v>39.57183098591549</v>
      </c>
      <c r="F161" s="121">
        <v>2294</v>
      </c>
      <c r="G161" s="122">
        <v>144</v>
      </c>
      <c r="H161" s="59">
        <f t="shared" si="68"/>
        <v>15.930555555555555</v>
      </c>
      <c r="I161" s="136">
        <f t="shared" si="69"/>
        <v>30390</v>
      </c>
      <c r="J161" s="136">
        <f t="shared" si="70"/>
        <v>854</v>
      </c>
      <c r="K161" s="61">
        <f t="shared" si="71"/>
        <v>35.585480093676814</v>
      </c>
    </row>
    <row r="162" spans="2:11" ht="12.75" customHeight="1">
      <c r="B162" s="55" t="s">
        <v>21</v>
      </c>
      <c r="C162" s="114">
        <v>20705</v>
      </c>
      <c r="D162" s="115">
        <v>475</v>
      </c>
      <c r="E162" s="58">
        <f t="shared" si="67"/>
        <v>43.589473684210525</v>
      </c>
      <c r="F162" s="121">
        <v>1092</v>
      </c>
      <c r="G162" s="122">
        <v>129</v>
      </c>
      <c r="H162" s="59">
        <f t="shared" si="68"/>
        <v>8.4651162790697683</v>
      </c>
      <c r="I162" s="136">
        <f t="shared" si="69"/>
        <v>21797</v>
      </c>
      <c r="J162" s="136">
        <f t="shared" si="70"/>
        <v>604</v>
      </c>
      <c r="K162" s="61">
        <f t="shared" si="71"/>
        <v>36.087748344370858</v>
      </c>
    </row>
    <row r="163" spans="2:11" ht="12.75" customHeight="1">
      <c r="B163" s="55" t="s">
        <v>13</v>
      </c>
      <c r="C163" s="114">
        <v>93258</v>
      </c>
      <c r="D163" s="115">
        <v>2400</v>
      </c>
      <c r="E163" s="58">
        <f t="shared" si="67"/>
        <v>38.857500000000002</v>
      </c>
      <c r="F163" s="121">
        <v>2965</v>
      </c>
      <c r="G163" s="122">
        <v>215</v>
      </c>
      <c r="H163" s="59">
        <f t="shared" si="68"/>
        <v>13.790697674418604</v>
      </c>
      <c r="I163" s="136">
        <f t="shared" si="69"/>
        <v>96223</v>
      </c>
      <c r="J163" s="136">
        <f t="shared" si="70"/>
        <v>2615</v>
      </c>
      <c r="K163" s="61">
        <f t="shared" si="71"/>
        <v>36.796558317399615</v>
      </c>
    </row>
    <row r="164" spans="2:11" ht="12.75" customHeight="1">
      <c r="B164" s="63"/>
      <c r="C164" s="116"/>
      <c r="D164" s="117"/>
      <c r="E164" s="66"/>
      <c r="F164" s="123"/>
      <c r="G164" s="124"/>
      <c r="H164" s="67"/>
      <c r="I164" s="137"/>
      <c r="J164" s="137"/>
      <c r="K164" s="69"/>
    </row>
    <row r="165" spans="2:11" ht="12.75" customHeight="1">
      <c r="B165" s="140" t="s">
        <v>81</v>
      </c>
      <c r="C165" s="141">
        <v>200223</v>
      </c>
      <c r="D165" s="141">
        <v>5001</v>
      </c>
      <c r="E165" s="143">
        <f>C165/D165</f>
        <v>40.036592681463709</v>
      </c>
      <c r="F165" s="141">
        <v>9722</v>
      </c>
      <c r="G165" s="141">
        <v>775</v>
      </c>
      <c r="H165" s="144">
        <f>F165/G165</f>
        <v>12.544516129032258</v>
      </c>
      <c r="I165" s="145">
        <f>C165+F165</f>
        <v>209945</v>
      </c>
      <c r="J165" s="145">
        <f>D165+G165</f>
        <v>5776</v>
      </c>
      <c r="K165" s="146">
        <f>I165/J165</f>
        <v>36.347818559556785</v>
      </c>
    </row>
    <row r="166" spans="2:11" ht="12.75" customHeight="1">
      <c r="B166" s="202" t="s">
        <v>78</v>
      </c>
      <c r="C166" s="205"/>
      <c r="D166" s="141"/>
      <c r="E166" s="143"/>
      <c r="F166" s="141"/>
      <c r="G166" s="141"/>
      <c r="H166" s="144"/>
      <c r="I166" s="145"/>
      <c r="J166" s="145"/>
      <c r="K166" s="146"/>
    </row>
    <row r="167" spans="2:11" ht="12.75" customHeight="1">
      <c r="B167" s="140" t="s">
        <v>79</v>
      </c>
      <c r="C167" s="205">
        <f>SUM(C158:C163)</f>
        <v>185012</v>
      </c>
      <c r="D167" s="141">
        <f>SUM(D158:D163)</f>
        <v>4642</v>
      </c>
      <c r="E167" s="143"/>
      <c r="F167" s="141">
        <f>SUM(F158:F163)</f>
        <v>9074</v>
      </c>
      <c r="G167" s="141">
        <f>SUM(G158:G163)</f>
        <v>727</v>
      </c>
      <c r="H167" s="144"/>
      <c r="I167" s="145">
        <f>C167+F167</f>
        <v>194086</v>
      </c>
      <c r="J167" s="145">
        <f>D167+G167</f>
        <v>5369</v>
      </c>
      <c r="K167" s="146"/>
    </row>
    <row r="168" spans="2:11" ht="12.75" customHeight="1">
      <c r="B168" s="206" t="s">
        <v>80</v>
      </c>
      <c r="C168" s="118"/>
      <c r="D168" s="118"/>
      <c r="F168" s="125"/>
      <c r="G168" s="125"/>
      <c r="I168" s="200"/>
      <c r="J168" s="200"/>
    </row>
    <row r="169" spans="2:11" ht="5.4" customHeight="1">
      <c r="B169" s="207"/>
      <c r="C169" s="208"/>
      <c r="D169" s="208"/>
      <c r="E169" s="207"/>
      <c r="F169" s="209"/>
      <c r="G169" s="209"/>
      <c r="H169" s="207"/>
      <c r="I169" s="209"/>
      <c r="J169" s="209"/>
      <c r="K169" s="207"/>
    </row>
    <row r="170" spans="2:11" ht="5.4" customHeight="1">
      <c r="C170" s="118"/>
      <c r="D170" s="118"/>
      <c r="F170" s="125"/>
      <c r="G170" s="125"/>
      <c r="I170" s="125"/>
      <c r="J170" s="125"/>
    </row>
    <row r="171" spans="2:11" ht="12.75" customHeight="1">
      <c r="B171" s="22" t="s">
        <v>73</v>
      </c>
      <c r="C171" s="327" t="s">
        <v>75</v>
      </c>
      <c r="D171" s="327"/>
      <c r="E171" s="328"/>
      <c r="F171" s="329" t="s">
        <v>76</v>
      </c>
      <c r="G171" s="327"/>
      <c r="H171" s="328"/>
      <c r="I171" s="330" t="s">
        <v>77</v>
      </c>
      <c r="J171" s="331"/>
      <c r="K171" s="331"/>
    </row>
    <row r="172" spans="2:11" ht="12.75" customHeight="1">
      <c r="B172" s="94"/>
      <c r="C172" s="148" t="s">
        <v>5</v>
      </c>
      <c r="D172" s="149" t="s">
        <v>6</v>
      </c>
      <c r="E172" s="153" t="s">
        <v>7</v>
      </c>
      <c r="F172" s="150" t="s">
        <v>5</v>
      </c>
      <c r="G172" s="151" t="s">
        <v>6</v>
      </c>
      <c r="H172" s="154" t="s">
        <v>8</v>
      </c>
      <c r="I172" s="152" t="s">
        <v>5</v>
      </c>
      <c r="J172" s="152" t="s">
        <v>6</v>
      </c>
      <c r="K172" s="155" t="s">
        <v>8</v>
      </c>
    </row>
    <row r="173" spans="2:11" ht="12.75" customHeight="1">
      <c r="B173" s="177" t="s">
        <v>9</v>
      </c>
      <c r="C173" s="112">
        <v>11127</v>
      </c>
      <c r="D173" s="113">
        <v>214</v>
      </c>
      <c r="E173" s="178">
        <f t="shared" ref="E173:E180" si="72">C173/D173</f>
        <v>51.995327102803735</v>
      </c>
      <c r="F173" s="112">
        <v>9571</v>
      </c>
      <c r="G173" s="113">
        <v>303</v>
      </c>
      <c r="H173" s="179">
        <f t="shared" ref="H173:H180" si="73">F173/G173</f>
        <v>31.587458745874589</v>
      </c>
      <c r="I173" s="180">
        <f t="shared" ref="I173:J178" si="74">C173+F173</f>
        <v>20698</v>
      </c>
      <c r="J173" s="180">
        <f t="shared" si="74"/>
        <v>517</v>
      </c>
      <c r="K173" s="181">
        <f t="shared" ref="K173:K178" si="75">I173/J173</f>
        <v>40.034816247582206</v>
      </c>
    </row>
    <row r="174" spans="2:11" ht="12.75" customHeight="1">
      <c r="B174" s="182" t="s">
        <v>10</v>
      </c>
      <c r="C174" s="114">
        <v>4898</v>
      </c>
      <c r="D174" s="115">
        <v>61</v>
      </c>
      <c r="E174" s="183">
        <f t="shared" si="72"/>
        <v>80.295081967213122</v>
      </c>
      <c r="F174" s="114">
        <v>8884</v>
      </c>
      <c r="G174" s="115">
        <v>190</v>
      </c>
      <c r="H174" s="184">
        <f t="shared" si="73"/>
        <v>46.757894736842104</v>
      </c>
      <c r="I174" s="185">
        <f t="shared" si="74"/>
        <v>13782</v>
      </c>
      <c r="J174" s="185">
        <f t="shared" si="74"/>
        <v>251</v>
      </c>
      <c r="K174" s="186">
        <f t="shared" si="75"/>
        <v>54.908366533864545</v>
      </c>
    </row>
    <row r="175" spans="2:11" ht="12.75" customHeight="1">
      <c r="B175" s="182" t="s">
        <v>11</v>
      </c>
      <c r="C175" s="114">
        <v>5111</v>
      </c>
      <c r="D175" s="115">
        <v>145</v>
      </c>
      <c r="E175" s="183">
        <f t="shared" si="72"/>
        <v>35.248275862068965</v>
      </c>
      <c r="F175" s="114">
        <v>3362</v>
      </c>
      <c r="G175" s="115">
        <v>144</v>
      </c>
      <c r="H175" s="184">
        <f t="shared" si="73"/>
        <v>23.347222222222221</v>
      </c>
      <c r="I175" s="185">
        <f t="shared" si="74"/>
        <v>8473</v>
      </c>
      <c r="J175" s="185">
        <f t="shared" si="74"/>
        <v>289</v>
      </c>
      <c r="K175" s="186">
        <f t="shared" si="75"/>
        <v>29.318339100346019</v>
      </c>
    </row>
    <row r="176" spans="2:11" ht="12.75" customHeight="1">
      <c r="B176" s="182" t="s">
        <v>12</v>
      </c>
      <c r="C176" s="114">
        <v>13715</v>
      </c>
      <c r="D176" s="115">
        <v>317</v>
      </c>
      <c r="E176" s="183">
        <f t="shared" si="72"/>
        <v>43.264984227129339</v>
      </c>
      <c r="F176" s="114">
        <v>14381</v>
      </c>
      <c r="G176" s="115">
        <v>393</v>
      </c>
      <c r="H176" s="184">
        <f t="shared" si="73"/>
        <v>36.592875318066156</v>
      </c>
      <c r="I176" s="185">
        <f t="shared" si="74"/>
        <v>28096</v>
      </c>
      <c r="J176" s="185">
        <f t="shared" si="74"/>
        <v>710</v>
      </c>
      <c r="K176" s="186">
        <f t="shared" si="75"/>
        <v>39.57183098591549</v>
      </c>
    </row>
    <row r="177" spans="2:11" ht="12.75" customHeight="1">
      <c r="B177" s="182" t="s">
        <v>21</v>
      </c>
      <c r="C177" s="114">
        <v>11864</v>
      </c>
      <c r="D177" s="115">
        <v>244</v>
      </c>
      <c r="E177" s="183">
        <f t="shared" si="72"/>
        <v>48.622950819672134</v>
      </c>
      <c r="F177" s="114">
        <v>8841</v>
      </c>
      <c r="G177" s="115">
        <v>231</v>
      </c>
      <c r="H177" s="184">
        <f t="shared" si="73"/>
        <v>38.272727272727273</v>
      </c>
      <c r="I177" s="185">
        <f t="shared" si="74"/>
        <v>20705</v>
      </c>
      <c r="J177" s="185">
        <f t="shared" si="74"/>
        <v>475</v>
      </c>
      <c r="K177" s="186">
        <f t="shared" si="75"/>
        <v>43.589473684210525</v>
      </c>
    </row>
    <row r="178" spans="2:11" ht="12.75" customHeight="1">
      <c r="B178" s="182" t="s">
        <v>13</v>
      </c>
      <c r="C178" s="114">
        <v>72845</v>
      </c>
      <c r="D178" s="115">
        <v>1703</v>
      </c>
      <c r="E178" s="183">
        <f t="shared" si="72"/>
        <v>42.7745155607751</v>
      </c>
      <c r="F178" s="114">
        <v>20413</v>
      </c>
      <c r="G178" s="115">
        <v>697</v>
      </c>
      <c r="H178" s="184">
        <f t="shared" si="73"/>
        <v>29.286944045911046</v>
      </c>
      <c r="I178" s="185">
        <f t="shared" si="74"/>
        <v>93258</v>
      </c>
      <c r="J178" s="185">
        <f t="shared" si="74"/>
        <v>2400</v>
      </c>
      <c r="K178" s="186">
        <f t="shared" si="75"/>
        <v>38.857500000000002</v>
      </c>
    </row>
    <row r="179" spans="2:11" ht="12.75" customHeight="1">
      <c r="B179" s="187"/>
      <c r="C179" s="116"/>
      <c r="D179" s="117"/>
      <c r="E179" s="188"/>
      <c r="F179" s="116"/>
      <c r="G179" s="117"/>
      <c r="H179" s="189"/>
      <c r="I179" s="174"/>
      <c r="J179" s="174"/>
      <c r="K179" s="190"/>
    </row>
    <row r="180" spans="2:11" ht="12.75" customHeight="1">
      <c r="B180" s="140" t="s">
        <v>81</v>
      </c>
      <c r="C180" s="173">
        <v>131549</v>
      </c>
      <c r="D180" s="141">
        <v>2938</v>
      </c>
      <c r="E180" s="143">
        <f t="shared" si="72"/>
        <v>44.775017018379849</v>
      </c>
      <c r="F180" s="141">
        <v>68674</v>
      </c>
      <c r="G180" s="141">
        <v>2063</v>
      </c>
      <c r="H180" s="144">
        <f t="shared" si="73"/>
        <v>33.288414929714008</v>
      </c>
      <c r="I180" s="145">
        <f t="shared" ref="I180" si="76">C180+F180</f>
        <v>200223</v>
      </c>
      <c r="J180" s="145">
        <f t="shared" ref="J180" si="77">D180+G180</f>
        <v>5001</v>
      </c>
      <c r="K180" s="146">
        <f t="shared" ref="K180" si="78">I180/J180</f>
        <v>40.036592681463709</v>
      </c>
    </row>
    <row r="181" spans="2:11" ht="12.75" customHeight="1">
      <c r="B181" s="202" t="s">
        <v>78</v>
      </c>
      <c r="C181" s="114"/>
      <c r="D181" s="114"/>
      <c r="E181" s="183"/>
      <c r="F181" s="114"/>
      <c r="G181" s="114"/>
      <c r="H181" s="184"/>
      <c r="I181" s="185"/>
      <c r="J181" s="185"/>
      <c r="K181" s="186"/>
    </row>
    <row r="182" spans="2:11" ht="12.75" customHeight="1">
      <c r="B182" s="140" t="s">
        <v>79</v>
      </c>
      <c r="C182" s="173">
        <f>SUM(C173:C178)</f>
        <v>119560</v>
      </c>
      <c r="D182" s="141">
        <f>SUM(D173:D178)</f>
        <v>2684</v>
      </c>
      <c r="E182" s="143"/>
      <c r="F182" s="141">
        <f>SUM(F173:F178)</f>
        <v>65452</v>
      </c>
      <c r="G182" s="141">
        <f>SUM(G173:G178)</f>
        <v>1958</v>
      </c>
      <c r="H182" s="144"/>
      <c r="I182" s="145">
        <f>C182+F182</f>
        <v>185012</v>
      </c>
      <c r="J182" s="145">
        <f>D182+G182</f>
        <v>4642</v>
      </c>
      <c r="K182" s="146"/>
    </row>
    <row r="183" spans="2:11" ht="12.75" customHeight="1">
      <c r="B183" s="210" t="s">
        <v>80</v>
      </c>
      <c r="C183" s="116"/>
      <c r="D183" s="116"/>
      <c r="F183" s="116"/>
      <c r="G183" s="116"/>
      <c r="I183" s="174"/>
      <c r="J183" s="174"/>
      <c r="K183" s="175"/>
    </row>
    <row r="184" spans="2:11" ht="12.75" customHeight="1">
      <c r="B184" s="211"/>
      <c r="C184" s="118"/>
      <c r="D184" s="118"/>
      <c r="F184" s="118"/>
      <c r="G184" s="118"/>
      <c r="I184" s="118"/>
      <c r="J184" s="118"/>
    </row>
    <row r="185" spans="2:11" ht="12.75" customHeight="1">
      <c r="B185" s="211"/>
      <c r="C185" s="118"/>
      <c r="D185" s="118"/>
      <c r="F185" s="118"/>
      <c r="G185" s="118"/>
      <c r="I185" s="118"/>
      <c r="J185" s="118"/>
    </row>
    <row r="186" spans="2:11" ht="12.75" customHeight="1">
      <c r="B186" s="85"/>
      <c r="C186" s="85"/>
      <c r="D186" s="85"/>
      <c r="E186" s="85"/>
      <c r="F186" s="85"/>
      <c r="G186" s="85"/>
      <c r="H186" s="85"/>
      <c r="I186" s="85"/>
      <c r="J186" s="85"/>
      <c r="K186" s="85"/>
    </row>
    <row r="187" spans="2:11" ht="12.75" customHeight="1">
      <c r="B187" s="22" t="s">
        <v>70</v>
      </c>
      <c r="C187" s="327" t="s">
        <v>2</v>
      </c>
      <c r="D187" s="327"/>
      <c r="E187" s="328"/>
      <c r="F187" s="329" t="s">
        <v>3</v>
      </c>
      <c r="G187" s="327"/>
      <c r="H187" s="328"/>
      <c r="I187" s="330" t="s">
        <v>4</v>
      </c>
      <c r="J187" s="331"/>
      <c r="K187" s="331"/>
    </row>
    <row r="188" spans="2:11" ht="12.75" customHeight="1">
      <c r="B188" s="94"/>
      <c r="C188" s="148" t="s">
        <v>5</v>
      </c>
      <c r="D188" s="149" t="s">
        <v>6</v>
      </c>
      <c r="E188" s="153" t="s">
        <v>7</v>
      </c>
      <c r="F188" s="150" t="s">
        <v>5</v>
      </c>
      <c r="G188" s="151" t="s">
        <v>6</v>
      </c>
      <c r="H188" s="154" t="s">
        <v>8</v>
      </c>
      <c r="I188" s="152" t="s">
        <v>5</v>
      </c>
      <c r="J188" s="152" t="s">
        <v>6</v>
      </c>
      <c r="K188" s="155" t="s">
        <v>8</v>
      </c>
    </row>
    <row r="189" spans="2:11" ht="12.75" customHeight="1">
      <c r="B189" s="47" t="s">
        <v>9</v>
      </c>
      <c r="C189" s="112">
        <v>20358</v>
      </c>
      <c r="D189" s="113">
        <v>502</v>
      </c>
      <c r="E189" s="50">
        <f t="shared" ref="E189:E194" si="79">C189/D189</f>
        <v>40.553784860557769</v>
      </c>
      <c r="F189" s="119">
        <v>1265</v>
      </c>
      <c r="G189" s="120">
        <v>129</v>
      </c>
      <c r="H189" s="51">
        <f t="shared" ref="H189:H194" si="80">F189/G189</f>
        <v>9.8062015503875966</v>
      </c>
      <c r="I189" s="135">
        <f t="shared" ref="I189:I194" si="81">C189+F189</f>
        <v>21623</v>
      </c>
      <c r="J189" s="135">
        <f t="shared" ref="J189:J194" si="82">D189+G189</f>
        <v>631</v>
      </c>
      <c r="K189" s="53">
        <f t="shared" ref="K189:K194" si="83">I189/J189</f>
        <v>34.26782884310618</v>
      </c>
    </row>
    <row r="190" spans="2:11" ht="12.75" customHeight="1">
      <c r="B190" s="55" t="s">
        <v>10</v>
      </c>
      <c r="C190" s="114">
        <v>13029</v>
      </c>
      <c r="D190" s="115">
        <v>238</v>
      </c>
      <c r="E190" s="58">
        <f t="shared" si="79"/>
        <v>54.743697478991599</v>
      </c>
      <c r="F190" s="121">
        <v>895</v>
      </c>
      <c r="G190" s="122">
        <v>41</v>
      </c>
      <c r="H190" s="59">
        <f t="shared" si="80"/>
        <v>21.829268292682926</v>
      </c>
      <c r="I190" s="136">
        <f t="shared" si="81"/>
        <v>13924</v>
      </c>
      <c r="J190" s="136">
        <f t="shared" si="82"/>
        <v>279</v>
      </c>
      <c r="K190" s="61">
        <f t="shared" si="83"/>
        <v>49.906810035842291</v>
      </c>
    </row>
    <row r="191" spans="2:11" ht="12.75" customHeight="1">
      <c r="B191" s="55" t="s">
        <v>11</v>
      </c>
      <c r="C191" s="114">
        <v>8344</v>
      </c>
      <c r="D191" s="115">
        <v>281</v>
      </c>
      <c r="E191" s="58">
        <f t="shared" si="79"/>
        <v>29.693950177935942</v>
      </c>
      <c r="F191" s="121">
        <v>901</v>
      </c>
      <c r="G191" s="122">
        <v>93</v>
      </c>
      <c r="H191" s="59">
        <f t="shared" si="80"/>
        <v>9.6881720430107521</v>
      </c>
      <c r="I191" s="136">
        <f t="shared" si="81"/>
        <v>9245</v>
      </c>
      <c r="J191" s="136">
        <f t="shared" si="82"/>
        <v>374</v>
      </c>
      <c r="K191" s="61">
        <f t="shared" si="83"/>
        <v>24.719251336898395</v>
      </c>
    </row>
    <row r="192" spans="2:11" ht="12.75" customHeight="1">
      <c r="B192" s="55" t="s">
        <v>12</v>
      </c>
      <c r="C192" s="114">
        <v>27078</v>
      </c>
      <c r="D192" s="115">
        <v>681</v>
      </c>
      <c r="E192" s="58">
        <f t="shared" si="79"/>
        <v>39.762114537444937</v>
      </c>
      <c r="F192" s="121">
        <v>2505</v>
      </c>
      <c r="G192" s="122">
        <v>152</v>
      </c>
      <c r="H192" s="59">
        <f t="shared" si="80"/>
        <v>16.480263157894736</v>
      </c>
      <c r="I192" s="136">
        <f t="shared" si="81"/>
        <v>29583</v>
      </c>
      <c r="J192" s="136">
        <f t="shared" si="82"/>
        <v>833</v>
      </c>
      <c r="K192" s="61">
        <f t="shared" si="83"/>
        <v>35.513805522208884</v>
      </c>
    </row>
    <row r="193" spans="2:11" ht="12.75" customHeight="1">
      <c r="B193" s="55" t="s">
        <v>21</v>
      </c>
      <c r="C193" s="114">
        <v>20762</v>
      </c>
      <c r="D193" s="115">
        <v>462</v>
      </c>
      <c r="E193" s="58">
        <f t="shared" si="79"/>
        <v>44.939393939393938</v>
      </c>
      <c r="F193" s="121">
        <v>1166</v>
      </c>
      <c r="G193" s="122">
        <v>139</v>
      </c>
      <c r="H193" s="59">
        <f t="shared" si="80"/>
        <v>8.3884892086330929</v>
      </c>
      <c r="I193" s="136">
        <f t="shared" si="81"/>
        <v>21928</v>
      </c>
      <c r="J193" s="136">
        <f t="shared" si="82"/>
        <v>601</v>
      </c>
      <c r="K193" s="61">
        <f t="shared" si="83"/>
        <v>36.485856905158073</v>
      </c>
    </row>
    <row r="194" spans="2:11" ht="12.75" customHeight="1">
      <c r="B194" s="55" t="s">
        <v>13</v>
      </c>
      <c r="C194" s="114">
        <v>91292</v>
      </c>
      <c r="D194" s="115">
        <v>2396</v>
      </c>
      <c r="E194" s="58">
        <f t="shared" si="79"/>
        <v>38.101836393989984</v>
      </c>
      <c r="F194" s="121">
        <v>2993</v>
      </c>
      <c r="G194" s="122">
        <v>207</v>
      </c>
      <c r="H194" s="59">
        <f t="shared" si="80"/>
        <v>14.458937198067632</v>
      </c>
      <c r="I194" s="136">
        <f t="shared" si="81"/>
        <v>94285</v>
      </c>
      <c r="J194" s="136">
        <f t="shared" si="82"/>
        <v>2603</v>
      </c>
      <c r="K194" s="61">
        <f t="shared" si="83"/>
        <v>36.221667306953513</v>
      </c>
    </row>
    <row r="195" spans="2:11" ht="12.75" customHeight="1">
      <c r="B195" s="63"/>
      <c r="C195" s="116"/>
      <c r="D195" s="117"/>
      <c r="E195" s="66"/>
      <c r="F195" s="123"/>
      <c r="G195" s="124"/>
      <c r="H195" s="67"/>
      <c r="I195" s="137"/>
      <c r="J195" s="137"/>
      <c r="K195" s="69"/>
    </row>
    <row r="196" spans="2:11" ht="12.75" customHeight="1">
      <c r="B196" s="140" t="s">
        <v>84</v>
      </c>
      <c r="C196" s="141">
        <v>195469</v>
      </c>
      <c r="D196" s="141">
        <v>4914</v>
      </c>
      <c r="E196" s="143">
        <f>C196/D196</f>
        <v>39.777981277981276</v>
      </c>
      <c r="F196" s="141">
        <v>10484</v>
      </c>
      <c r="G196" s="141">
        <v>814</v>
      </c>
      <c r="H196" s="144">
        <f>F196/G196</f>
        <v>12.879606879606879</v>
      </c>
      <c r="I196" s="145">
        <f>C196+F196</f>
        <v>205953</v>
      </c>
      <c r="J196" s="145">
        <f>D196+G196</f>
        <v>5728</v>
      </c>
      <c r="K196" s="146">
        <f>I196/J196</f>
        <v>35.95548184357542</v>
      </c>
    </row>
    <row r="197" spans="2:11" s="212" customFormat="1" ht="12.75" customHeight="1">
      <c r="B197" s="201" t="s">
        <v>78</v>
      </c>
      <c r="C197" s="213"/>
      <c r="D197" s="213"/>
      <c r="E197" s="214"/>
      <c r="F197" s="213"/>
      <c r="G197" s="213"/>
      <c r="H197" s="215"/>
      <c r="I197" s="216"/>
      <c r="J197" s="216"/>
      <c r="K197" s="217"/>
    </row>
    <row r="198" spans="2:11" ht="12.75" customHeight="1">
      <c r="B198" s="140" t="s">
        <v>83</v>
      </c>
      <c r="C198" s="141">
        <v>180863</v>
      </c>
      <c r="D198" s="141">
        <v>4560</v>
      </c>
      <c r="E198" s="143"/>
      <c r="F198" s="141">
        <v>9725</v>
      </c>
      <c r="G198" s="141">
        <v>761</v>
      </c>
      <c r="H198" s="144"/>
      <c r="I198" s="145">
        <v>190588</v>
      </c>
      <c r="J198" s="145">
        <v>5321</v>
      </c>
      <c r="K198" s="146"/>
    </row>
    <row r="199" spans="2:11" ht="12.75" customHeight="1">
      <c r="B199" s="210" t="s">
        <v>80</v>
      </c>
      <c r="C199" s="118"/>
      <c r="D199" s="118"/>
      <c r="F199" s="125"/>
      <c r="G199" s="125"/>
      <c r="I199" s="125"/>
      <c r="J199" s="125"/>
    </row>
    <row r="200" spans="2:11" ht="7.2" customHeight="1">
      <c r="B200" s="226"/>
      <c r="C200" s="208"/>
      <c r="D200" s="208"/>
      <c r="E200" s="207"/>
      <c r="F200" s="209"/>
      <c r="G200" s="209"/>
      <c r="H200" s="207"/>
      <c r="I200" s="209"/>
      <c r="J200" s="209"/>
      <c r="K200" s="207"/>
    </row>
    <row r="201" spans="2:11" ht="7.2" customHeight="1">
      <c r="C201" s="118"/>
      <c r="D201" s="118"/>
      <c r="F201" s="125"/>
      <c r="G201" s="125"/>
      <c r="I201" s="125"/>
      <c r="J201" s="125"/>
    </row>
    <row r="202" spans="2:11" ht="12.75" customHeight="1">
      <c r="B202" s="22" t="s">
        <v>70</v>
      </c>
      <c r="C202" s="327" t="s">
        <v>75</v>
      </c>
      <c r="D202" s="327"/>
      <c r="E202" s="328"/>
      <c r="F202" s="329" t="s">
        <v>76</v>
      </c>
      <c r="G202" s="327"/>
      <c r="H202" s="328"/>
      <c r="I202" s="330" t="s">
        <v>77</v>
      </c>
      <c r="J202" s="331"/>
      <c r="K202" s="331"/>
    </row>
    <row r="203" spans="2:11" ht="12.75" customHeight="1">
      <c r="B203" s="94"/>
      <c r="C203" s="148" t="s">
        <v>5</v>
      </c>
      <c r="D203" s="149" t="s">
        <v>6</v>
      </c>
      <c r="E203" s="153" t="s">
        <v>7</v>
      </c>
      <c r="F203" s="150" t="s">
        <v>5</v>
      </c>
      <c r="G203" s="151" t="s">
        <v>6</v>
      </c>
      <c r="H203" s="154" t="s">
        <v>8</v>
      </c>
      <c r="I203" s="152" t="s">
        <v>5</v>
      </c>
      <c r="J203" s="152" t="s">
        <v>6</v>
      </c>
      <c r="K203" s="155" t="s">
        <v>8</v>
      </c>
    </row>
    <row r="204" spans="2:11" ht="12.75" customHeight="1">
      <c r="B204" s="177" t="s">
        <v>9</v>
      </c>
      <c r="C204" s="112">
        <v>11257</v>
      </c>
      <c r="D204" s="113">
        <v>213</v>
      </c>
      <c r="E204" s="178">
        <f t="shared" ref="E204:E211" si="84">C204/D204</f>
        <v>52.84976525821596</v>
      </c>
      <c r="F204" s="112">
        <v>9101</v>
      </c>
      <c r="G204" s="113">
        <v>289</v>
      </c>
      <c r="H204" s="179">
        <f t="shared" ref="H204:H211" si="85">F204/G204</f>
        <v>31.491349480968857</v>
      </c>
      <c r="I204" s="180">
        <f t="shared" ref="I204:J209" si="86">C204+F204</f>
        <v>20358</v>
      </c>
      <c r="J204" s="180">
        <f t="shared" si="86"/>
        <v>502</v>
      </c>
      <c r="K204" s="181">
        <f t="shared" ref="K204:K211" si="87">I204/J204</f>
        <v>40.553784860557769</v>
      </c>
    </row>
    <row r="205" spans="2:11" ht="12.75" customHeight="1">
      <c r="B205" s="182" t="s">
        <v>10</v>
      </c>
      <c r="C205" s="114">
        <v>4906</v>
      </c>
      <c r="D205" s="115">
        <v>59</v>
      </c>
      <c r="E205" s="183">
        <f t="shared" si="84"/>
        <v>83.152542372881356</v>
      </c>
      <c r="F205" s="114">
        <v>8123</v>
      </c>
      <c r="G205" s="115">
        <v>179</v>
      </c>
      <c r="H205" s="184">
        <f t="shared" si="85"/>
        <v>45.379888268156428</v>
      </c>
      <c r="I205" s="185">
        <f t="shared" si="86"/>
        <v>13029</v>
      </c>
      <c r="J205" s="185">
        <f t="shared" si="86"/>
        <v>238</v>
      </c>
      <c r="K205" s="186">
        <f t="shared" si="87"/>
        <v>54.743697478991599</v>
      </c>
    </row>
    <row r="206" spans="2:11" ht="12.75" customHeight="1">
      <c r="B206" s="182" t="s">
        <v>11</v>
      </c>
      <c r="C206" s="114">
        <v>4967</v>
      </c>
      <c r="D206" s="115">
        <v>137</v>
      </c>
      <c r="E206" s="183">
        <f t="shared" si="84"/>
        <v>36.255474452554743</v>
      </c>
      <c r="F206" s="114">
        <v>3377</v>
      </c>
      <c r="G206" s="115">
        <v>144</v>
      </c>
      <c r="H206" s="184">
        <f t="shared" si="85"/>
        <v>23.451388888888889</v>
      </c>
      <c r="I206" s="185">
        <f t="shared" si="86"/>
        <v>8344</v>
      </c>
      <c r="J206" s="185">
        <f t="shared" si="86"/>
        <v>281</v>
      </c>
      <c r="K206" s="186">
        <f t="shared" si="87"/>
        <v>29.693950177935942</v>
      </c>
    </row>
    <row r="207" spans="2:11" ht="12.75" customHeight="1">
      <c r="B207" s="182" t="s">
        <v>12</v>
      </c>
      <c r="C207" s="114">
        <v>13254</v>
      </c>
      <c r="D207" s="115">
        <v>295</v>
      </c>
      <c r="E207" s="183">
        <f t="shared" si="84"/>
        <v>44.92881355932203</v>
      </c>
      <c r="F207" s="114">
        <v>13824</v>
      </c>
      <c r="G207" s="115">
        <v>386</v>
      </c>
      <c r="H207" s="184">
        <f t="shared" si="85"/>
        <v>35.813471502590673</v>
      </c>
      <c r="I207" s="185">
        <f t="shared" si="86"/>
        <v>27078</v>
      </c>
      <c r="J207" s="185">
        <f t="shared" si="86"/>
        <v>681</v>
      </c>
      <c r="K207" s="186">
        <f t="shared" si="87"/>
        <v>39.762114537444937</v>
      </c>
    </row>
    <row r="208" spans="2:11" ht="12.75" customHeight="1">
      <c r="B208" s="182" t="s">
        <v>21</v>
      </c>
      <c r="C208" s="114">
        <v>12253</v>
      </c>
      <c r="D208" s="115">
        <v>250</v>
      </c>
      <c r="E208" s="183">
        <f t="shared" si="84"/>
        <v>49.012</v>
      </c>
      <c r="F208" s="114">
        <v>8509</v>
      </c>
      <c r="G208" s="115">
        <v>212</v>
      </c>
      <c r="H208" s="184">
        <f t="shared" si="85"/>
        <v>40.136792452830186</v>
      </c>
      <c r="I208" s="185">
        <f t="shared" si="86"/>
        <v>20762</v>
      </c>
      <c r="J208" s="185">
        <f t="shared" si="86"/>
        <v>462</v>
      </c>
      <c r="K208" s="186">
        <f t="shared" si="87"/>
        <v>44.939393939393938</v>
      </c>
    </row>
    <row r="209" spans="2:11" ht="12.75" customHeight="1">
      <c r="B209" s="182" t="s">
        <v>13</v>
      </c>
      <c r="C209" s="114">
        <v>71473</v>
      </c>
      <c r="D209" s="115">
        <v>1721</v>
      </c>
      <c r="E209" s="183">
        <f t="shared" si="84"/>
        <v>41.529924462521791</v>
      </c>
      <c r="F209" s="114">
        <v>19819</v>
      </c>
      <c r="G209" s="115">
        <v>675</v>
      </c>
      <c r="H209" s="184">
        <f t="shared" si="85"/>
        <v>29.36148148148148</v>
      </c>
      <c r="I209" s="185">
        <f t="shared" si="86"/>
        <v>91292</v>
      </c>
      <c r="J209" s="185">
        <f t="shared" si="86"/>
        <v>2396</v>
      </c>
      <c r="K209" s="186">
        <f t="shared" si="87"/>
        <v>38.101836393989984</v>
      </c>
    </row>
    <row r="210" spans="2:11" ht="12.75" customHeight="1">
      <c r="B210" s="187"/>
      <c r="C210" s="116"/>
      <c r="D210" s="117"/>
      <c r="E210" s="188"/>
      <c r="F210" s="116"/>
      <c r="G210" s="117"/>
      <c r="H210" s="189"/>
      <c r="I210" s="174"/>
      <c r="J210" s="174"/>
      <c r="K210" s="190"/>
    </row>
    <row r="211" spans="2:11" ht="12.75" customHeight="1">
      <c r="B211" s="140" t="s">
        <v>81</v>
      </c>
      <c r="C211" s="173">
        <v>129562</v>
      </c>
      <c r="D211" s="141">
        <v>2920</v>
      </c>
      <c r="E211" s="143">
        <f t="shared" si="84"/>
        <v>44.37054794520548</v>
      </c>
      <c r="F211" s="141">
        <v>65907</v>
      </c>
      <c r="G211" s="141">
        <v>1994</v>
      </c>
      <c r="H211" s="144">
        <f t="shared" si="85"/>
        <v>33.052657973921768</v>
      </c>
      <c r="I211" s="145">
        <f>C211+F211</f>
        <v>195469</v>
      </c>
      <c r="J211" s="145">
        <f t="shared" ref="J211" si="88">D211+G211</f>
        <v>4914</v>
      </c>
      <c r="K211" s="146">
        <f t="shared" si="87"/>
        <v>39.777981277981276</v>
      </c>
    </row>
    <row r="212" spans="2:11" ht="12.75" customHeight="1">
      <c r="B212" s="201" t="s">
        <v>78</v>
      </c>
      <c r="C212" s="114"/>
      <c r="D212" s="114"/>
      <c r="E212" s="183"/>
      <c r="F212" s="114"/>
      <c r="G212" s="114"/>
      <c r="H212" s="184"/>
      <c r="I212" s="185"/>
      <c r="J212" s="185"/>
      <c r="K212" s="186"/>
    </row>
    <row r="213" spans="2:11" ht="12.75" customHeight="1">
      <c r="B213" s="140" t="s">
        <v>83</v>
      </c>
      <c r="C213" s="173">
        <f>SUM(C204:C209)</f>
        <v>118110</v>
      </c>
      <c r="D213" s="141">
        <f>SUM(D204:D209)</f>
        <v>2675</v>
      </c>
      <c r="E213" s="143"/>
      <c r="F213" s="141">
        <f>SUM(F204:F209)</f>
        <v>62753</v>
      </c>
      <c r="G213" s="141">
        <f>SUM(G204:G209)</f>
        <v>1885</v>
      </c>
      <c r="H213" s="144"/>
      <c r="I213" s="145">
        <f>C213+F213</f>
        <v>180863</v>
      </c>
      <c r="J213" s="145">
        <f>D213+G213</f>
        <v>4560</v>
      </c>
      <c r="K213" s="146"/>
    </row>
    <row r="214" spans="2:11" ht="12.75" customHeight="1">
      <c r="B214" s="210" t="s">
        <v>80</v>
      </c>
      <c r="C214" s="116"/>
      <c r="D214" s="116"/>
      <c r="F214" s="116"/>
      <c r="G214" s="116"/>
      <c r="I214" s="174"/>
      <c r="J214" s="174"/>
      <c r="K214" s="175"/>
    </row>
    <row r="215" spans="2:11" ht="12.75" customHeight="1">
      <c r="B215" s="197"/>
      <c r="C215" s="118"/>
      <c r="D215" s="118"/>
      <c r="F215" s="118"/>
      <c r="G215" s="118"/>
      <c r="I215" s="118"/>
      <c r="J215" s="118"/>
    </row>
    <row r="216" spans="2:11" ht="12.75" customHeight="1">
      <c r="B216" s="197"/>
      <c r="C216" s="118"/>
      <c r="D216" s="118"/>
      <c r="F216" s="118"/>
      <c r="G216" s="118"/>
      <c r="I216" s="118"/>
      <c r="J216" s="118"/>
    </row>
    <row r="217" spans="2:11" ht="12.75" customHeight="1">
      <c r="B217" s="85"/>
      <c r="C217" s="85"/>
      <c r="D217" s="85"/>
      <c r="E217" s="85"/>
      <c r="F217" s="85"/>
      <c r="G217" s="85"/>
      <c r="H217" s="85"/>
      <c r="I217" s="85"/>
      <c r="J217" s="85"/>
      <c r="K217" s="85"/>
    </row>
    <row r="219" spans="2:11" ht="12.75" customHeight="1">
      <c r="B219" s="22" t="s">
        <v>69</v>
      </c>
      <c r="C219" s="327" t="s">
        <v>2</v>
      </c>
      <c r="D219" s="327"/>
      <c r="E219" s="328"/>
      <c r="F219" s="329" t="s">
        <v>3</v>
      </c>
      <c r="G219" s="327"/>
      <c r="H219" s="328"/>
      <c r="I219" s="330" t="s">
        <v>4</v>
      </c>
      <c r="J219" s="331"/>
      <c r="K219" s="331"/>
    </row>
    <row r="220" spans="2:11" ht="12.75" customHeight="1">
      <c r="B220" s="94"/>
      <c r="C220" s="148" t="s">
        <v>5</v>
      </c>
      <c r="D220" s="149" t="s">
        <v>6</v>
      </c>
      <c r="E220" s="153" t="s">
        <v>7</v>
      </c>
      <c r="F220" s="150" t="s">
        <v>5</v>
      </c>
      <c r="G220" s="151" t="s">
        <v>6</v>
      </c>
      <c r="H220" s="154" t="s">
        <v>8</v>
      </c>
      <c r="I220" s="152" t="s">
        <v>5</v>
      </c>
      <c r="J220" s="152" t="s">
        <v>6</v>
      </c>
      <c r="K220" s="155" t="s">
        <v>8</v>
      </c>
    </row>
    <row r="221" spans="2:11" ht="12.75" customHeight="1">
      <c r="B221" s="47" t="s">
        <v>9</v>
      </c>
      <c r="C221" s="112">
        <v>19789</v>
      </c>
      <c r="D221" s="113">
        <v>497</v>
      </c>
      <c r="E221" s="50">
        <f t="shared" ref="E221:E226" si="89">C221/D221</f>
        <v>39.816901408450704</v>
      </c>
      <c r="F221" s="119">
        <v>1153</v>
      </c>
      <c r="G221" s="120">
        <v>104</v>
      </c>
      <c r="H221" s="51">
        <f t="shared" ref="H221:H226" si="90">F221/G221</f>
        <v>11.086538461538462</v>
      </c>
      <c r="I221" s="135">
        <f t="shared" ref="I221:I226" si="91">C221+F221</f>
        <v>20942</v>
      </c>
      <c r="J221" s="135">
        <f t="shared" ref="J221:J226" si="92">D221+G221</f>
        <v>601</v>
      </c>
      <c r="K221" s="53">
        <f t="shared" ref="K221:K226" si="93">I221/J221</f>
        <v>34.845257903494179</v>
      </c>
    </row>
    <row r="222" spans="2:11" ht="12.75" customHeight="1">
      <c r="B222" s="55" t="s">
        <v>10</v>
      </c>
      <c r="C222" s="114">
        <v>11893</v>
      </c>
      <c r="D222" s="115">
        <v>221</v>
      </c>
      <c r="E222" s="58">
        <f t="shared" si="89"/>
        <v>53.814479638009047</v>
      </c>
      <c r="F222" s="121">
        <v>803</v>
      </c>
      <c r="G222" s="122">
        <v>33</v>
      </c>
      <c r="H222" s="59">
        <f t="shared" si="90"/>
        <v>24.333333333333332</v>
      </c>
      <c r="I222" s="136">
        <f t="shared" si="91"/>
        <v>12696</v>
      </c>
      <c r="J222" s="136">
        <f t="shared" si="92"/>
        <v>254</v>
      </c>
      <c r="K222" s="61">
        <f t="shared" si="93"/>
        <v>49.984251968503933</v>
      </c>
    </row>
    <row r="223" spans="2:11" ht="12.75" customHeight="1">
      <c r="B223" s="55" t="s">
        <v>11</v>
      </c>
      <c r="C223" s="114">
        <v>8398</v>
      </c>
      <c r="D223" s="115">
        <v>259</v>
      </c>
      <c r="E223" s="58">
        <f t="shared" si="89"/>
        <v>32.424710424710426</v>
      </c>
      <c r="F223" s="121">
        <v>945</v>
      </c>
      <c r="G223" s="122">
        <v>90</v>
      </c>
      <c r="H223" s="59">
        <f t="shared" si="90"/>
        <v>10.5</v>
      </c>
      <c r="I223" s="136">
        <f t="shared" si="91"/>
        <v>9343</v>
      </c>
      <c r="J223" s="136">
        <f t="shared" si="92"/>
        <v>349</v>
      </c>
      <c r="K223" s="61">
        <f t="shared" si="93"/>
        <v>26.770773638968482</v>
      </c>
    </row>
    <row r="224" spans="2:11" ht="12.75" customHeight="1">
      <c r="B224" s="55" t="s">
        <v>12</v>
      </c>
      <c r="C224" s="114">
        <v>28449</v>
      </c>
      <c r="D224" s="115">
        <v>666</v>
      </c>
      <c r="E224" s="58">
        <f t="shared" si="89"/>
        <v>42.716216216216218</v>
      </c>
      <c r="F224" s="121">
        <v>2446</v>
      </c>
      <c r="G224" s="122">
        <v>147</v>
      </c>
      <c r="H224" s="59">
        <f t="shared" si="90"/>
        <v>16.639455782312925</v>
      </c>
      <c r="I224" s="136">
        <f t="shared" si="91"/>
        <v>30895</v>
      </c>
      <c r="J224" s="136">
        <f t="shared" si="92"/>
        <v>813</v>
      </c>
      <c r="K224" s="61">
        <f t="shared" si="93"/>
        <v>38.00123001230012</v>
      </c>
    </row>
    <row r="225" spans="2:11" ht="12.75" customHeight="1">
      <c r="B225" s="55" t="s">
        <v>21</v>
      </c>
      <c r="C225" s="114">
        <v>21074</v>
      </c>
      <c r="D225" s="115">
        <v>461</v>
      </c>
      <c r="E225" s="58">
        <f t="shared" si="89"/>
        <v>45.713665943600866</v>
      </c>
      <c r="F225" s="121">
        <v>1448</v>
      </c>
      <c r="G225" s="122">
        <v>133</v>
      </c>
      <c r="H225" s="59">
        <f t="shared" si="90"/>
        <v>10.887218045112782</v>
      </c>
      <c r="I225" s="136">
        <f t="shared" si="91"/>
        <v>22522</v>
      </c>
      <c r="J225" s="136">
        <f t="shared" si="92"/>
        <v>594</v>
      </c>
      <c r="K225" s="61">
        <f t="shared" si="93"/>
        <v>37.915824915824913</v>
      </c>
    </row>
    <row r="226" spans="2:11" ht="12.75" customHeight="1">
      <c r="B226" s="55" t="s">
        <v>13</v>
      </c>
      <c r="C226" s="114">
        <v>91038</v>
      </c>
      <c r="D226" s="115">
        <v>2406</v>
      </c>
      <c r="E226" s="58">
        <f t="shared" si="89"/>
        <v>37.83790523690773</v>
      </c>
      <c r="F226" s="121">
        <v>3036</v>
      </c>
      <c r="G226" s="122">
        <v>220</v>
      </c>
      <c r="H226" s="59">
        <f t="shared" si="90"/>
        <v>13.8</v>
      </c>
      <c r="I226" s="136">
        <f t="shared" si="91"/>
        <v>94074</v>
      </c>
      <c r="J226" s="136">
        <f t="shared" si="92"/>
        <v>2626</v>
      </c>
      <c r="K226" s="61">
        <f t="shared" si="93"/>
        <v>35.824067022086822</v>
      </c>
    </row>
    <row r="227" spans="2:11" ht="12.75" customHeight="1">
      <c r="B227" s="63"/>
      <c r="C227" s="116"/>
      <c r="D227" s="117"/>
      <c r="E227" s="66"/>
      <c r="F227" s="123"/>
      <c r="G227" s="124"/>
      <c r="H227" s="67"/>
      <c r="I227" s="137"/>
      <c r="J227" s="137"/>
      <c r="K227" s="69"/>
    </row>
    <row r="228" spans="2:11" ht="12.75" customHeight="1">
      <c r="B228" s="140" t="s">
        <v>82</v>
      </c>
      <c r="C228" s="141">
        <v>194947</v>
      </c>
      <c r="D228" s="141">
        <v>4864</v>
      </c>
      <c r="E228" s="143">
        <f>C228/D228</f>
        <v>40.079564144736842</v>
      </c>
      <c r="F228" s="141">
        <v>10652</v>
      </c>
      <c r="G228" s="141">
        <v>784</v>
      </c>
      <c r="H228" s="144">
        <f>F228/G228</f>
        <v>13.586734693877551</v>
      </c>
      <c r="I228" s="145">
        <f>C228+F228</f>
        <v>205599</v>
      </c>
      <c r="J228" s="145">
        <f>D228+G228</f>
        <v>5648</v>
      </c>
      <c r="K228" s="146">
        <f>I228/J228</f>
        <v>36.402089235127477</v>
      </c>
    </row>
    <row r="229" spans="2:11" ht="12.75" customHeight="1">
      <c r="B229" s="201" t="s">
        <v>78</v>
      </c>
      <c r="C229" s="173"/>
      <c r="D229" s="173"/>
      <c r="E229" s="143"/>
      <c r="F229" s="173"/>
      <c r="G229" s="173"/>
      <c r="H229" s="144"/>
      <c r="I229" s="198"/>
      <c r="J229" s="198"/>
      <c r="K229" s="199"/>
    </row>
    <row r="230" spans="2:11" ht="12.75" customHeight="1">
      <c r="B230" s="140" t="s">
        <v>83</v>
      </c>
      <c r="C230" s="141">
        <v>180641</v>
      </c>
      <c r="D230" s="141">
        <v>4510</v>
      </c>
      <c r="E230" s="143"/>
      <c r="F230" s="141">
        <v>9831</v>
      </c>
      <c r="G230" s="141">
        <v>727</v>
      </c>
      <c r="H230" s="144"/>
      <c r="I230" s="145">
        <v>190472</v>
      </c>
      <c r="J230" s="145">
        <v>5237</v>
      </c>
      <c r="K230" s="146"/>
    </row>
    <row r="231" spans="2:11" ht="12.75" customHeight="1">
      <c r="B231" s="210" t="s">
        <v>80</v>
      </c>
      <c r="C231" s="118"/>
      <c r="D231" s="118"/>
      <c r="F231" s="125"/>
      <c r="G231" s="125"/>
      <c r="I231" s="125"/>
      <c r="J231" s="125"/>
    </row>
    <row r="232" spans="2:11" ht="8.4" customHeight="1">
      <c r="B232" s="226"/>
      <c r="C232" s="208"/>
      <c r="D232" s="208"/>
      <c r="E232" s="207"/>
      <c r="F232" s="209"/>
      <c r="G232" s="209"/>
      <c r="H232" s="207"/>
      <c r="I232" s="209"/>
      <c r="J232" s="209"/>
      <c r="K232" s="207"/>
    </row>
    <row r="233" spans="2:11" ht="8.4" customHeight="1">
      <c r="C233" s="118"/>
      <c r="D233" s="118"/>
      <c r="F233" s="125"/>
      <c r="G233" s="125"/>
      <c r="I233" s="125"/>
      <c r="J233" s="125"/>
    </row>
    <row r="234" spans="2:11" ht="12.75" customHeight="1">
      <c r="B234" s="22" t="s">
        <v>69</v>
      </c>
      <c r="C234" s="327" t="s">
        <v>75</v>
      </c>
      <c r="D234" s="327"/>
      <c r="E234" s="328"/>
      <c r="F234" s="329" t="s">
        <v>76</v>
      </c>
      <c r="G234" s="327"/>
      <c r="H234" s="328"/>
      <c r="I234" s="330" t="s">
        <v>77</v>
      </c>
      <c r="J234" s="331"/>
      <c r="K234" s="331"/>
    </row>
    <row r="235" spans="2:11" ht="12.75" customHeight="1">
      <c r="B235" s="94"/>
      <c r="C235" s="148" t="s">
        <v>5</v>
      </c>
      <c r="D235" s="149" t="s">
        <v>6</v>
      </c>
      <c r="E235" s="153" t="s">
        <v>7</v>
      </c>
      <c r="F235" s="150" t="s">
        <v>5</v>
      </c>
      <c r="G235" s="151" t="s">
        <v>6</v>
      </c>
      <c r="H235" s="154" t="s">
        <v>8</v>
      </c>
      <c r="I235" s="152" t="s">
        <v>5</v>
      </c>
      <c r="J235" s="152" t="s">
        <v>6</v>
      </c>
      <c r="K235" s="155" t="s">
        <v>8</v>
      </c>
    </row>
    <row r="236" spans="2:11" ht="12.75" customHeight="1">
      <c r="B236" s="177" t="s">
        <v>9</v>
      </c>
      <c r="C236" s="112">
        <v>10678</v>
      </c>
      <c r="D236" s="113">
        <v>201</v>
      </c>
      <c r="E236" s="178">
        <f t="shared" ref="E236:E241" si="94">C236/D236</f>
        <v>53.124378109452735</v>
      </c>
      <c r="F236" s="112">
        <v>9111</v>
      </c>
      <c r="G236" s="113">
        <v>296</v>
      </c>
      <c r="H236" s="179">
        <f t="shared" ref="H236:H241" si="95">F236/G236</f>
        <v>30.780405405405407</v>
      </c>
      <c r="I236" s="180">
        <f t="shared" ref="I236:J241" si="96">C236+F236</f>
        <v>19789</v>
      </c>
      <c r="J236" s="180">
        <f t="shared" si="96"/>
        <v>497</v>
      </c>
      <c r="K236" s="181">
        <f t="shared" ref="K236:K241" si="97">I236/J236</f>
        <v>39.816901408450704</v>
      </c>
    </row>
    <row r="237" spans="2:11" ht="12.75" customHeight="1">
      <c r="B237" s="182" t="s">
        <v>10</v>
      </c>
      <c r="C237" s="114">
        <v>4372</v>
      </c>
      <c r="D237" s="115">
        <v>57</v>
      </c>
      <c r="E237" s="183">
        <f t="shared" si="94"/>
        <v>76.701754385964918</v>
      </c>
      <c r="F237" s="114">
        <v>7521</v>
      </c>
      <c r="G237" s="115">
        <v>164</v>
      </c>
      <c r="H237" s="184">
        <f t="shared" si="95"/>
        <v>45.859756097560975</v>
      </c>
      <c r="I237" s="185">
        <f t="shared" si="96"/>
        <v>11893</v>
      </c>
      <c r="J237" s="185">
        <f t="shared" si="96"/>
        <v>221</v>
      </c>
      <c r="K237" s="186">
        <f t="shared" si="97"/>
        <v>53.814479638009047</v>
      </c>
    </row>
    <row r="238" spans="2:11" ht="12.75" customHeight="1">
      <c r="B238" s="182" t="s">
        <v>11</v>
      </c>
      <c r="C238" s="114">
        <v>4799</v>
      </c>
      <c r="D238" s="115">
        <v>118</v>
      </c>
      <c r="E238" s="183">
        <f t="shared" si="94"/>
        <v>40.66949152542373</v>
      </c>
      <c r="F238" s="114">
        <v>3599</v>
      </c>
      <c r="G238" s="115">
        <v>141</v>
      </c>
      <c r="H238" s="184">
        <f t="shared" si="95"/>
        <v>25.524822695035461</v>
      </c>
      <c r="I238" s="185">
        <f t="shared" si="96"/>
        <v>8398</v>
      </c>
      <c r="J238" s="185">
        <f t="shared" si="96"/>
        <v>259</v>
      </c>
      <c r="K238" s="186">
        <f t="shared" si="97"/>
        <v>32.424710424710426</v>
      </c>
    </row>
    <row r="239" spans="2:11" ht="12.75" customHeight="1">
      <c r="B239" s="182" t="s">
        <v>12</v>
      </c>
      <c r="C239" s="114">
        <v>14766</v>
      </c>
      <c r="D239" s="115">
        <v>265</v>
      </c>
      <c r="E239" s="183">
        <f t="shared" si="94"/>
        <v>55.720754716981133</v>
      </c>
      <c r="F239" s="114">
        <v>13683</v>
      </c>
      <c r="G239" s="115">
        <v>401</v>
      </c>
      <c r="H239" s="184">
        <f t="shared" si="95"/>
        <v>34.122194513715712</v>
      </c>
      <c r="I239" s="185">
        <f t="shared" si="96"/>
        <v>28449</v>
      </c>
      <c r="J239" s="185">
        <f t="shared" si="96"/>
        <v>666</v>
      </c>
      <c r="K239" s="186">
        <f t="shared" si="97"/>
        <v>42.716216216216218</v>
      </c>
    </row>
    <row r="240" spans="2:11" ht="12.75" customHeight="1">
      <c r="B240" s="182" t="s">
        <v>21</v>
      </c>
      <c r="C240" s="114">
        <v>12554</v>
      </c>
      <c r="D240" s="115">
        <v>240</v>
      </c>
      <c r="E240" s="183">
        <f t="shared" si="94"/>
        <v>52.30833333333333</v>
      </c>
      <c r="F240" s="114">
        <v>8520</v>
      </c>
      <c r="G240" s="115">
        <v>221</v>
      </c>
      <c r="H240" s="184">
        <f t="shared" si="95"/>
        <v>38.552036199095021</v>
      </c>
      <c r="I240" s="185">
        <f t="shared" si="96"/>
        <v>21074</v>
      </c>
      <c r="J240" s="185">
        <f t="shared" si="96"/>
        <v>461</v>
      </c>
      <c r="K240" s="186">
        <f t="shared" si="97"/>
        <v>45.713665943600866</v>
      </c>
    </row>
    <row r="241" spans="1:11" ht="12.75" customHeight="1">
      <c r="B241" s="182" t="s">
        <v>13</v>
      </c>
      <c r="C241" s="114">
        <f>837+71527</f>
        <v>72364</v>
      </c>
      <c r="D241" s="115">
        <v>1725</v>
      </c>
      <c r="E241" s="183">
        <f t="shared" si="94"/>
        <v>41.950144927536229</v>
      </c>
      <c r="F241" s="114">
        <v>18674</v>
      </c>
      <c r="G241" s="115">
        <v>681</v>
      </c>
      <c r="H241" s="184">
        <f t="shared" si="95"/>
        <v>27.421439060205579</v>
      </c>
      <c r="I241" s="185">
        <f t="shared" si="96"/>
        <v>91038</v>
      </c>
      <c r="J241" s="185">
        <f t="shared" si="96"/>
        <v>2406</v>
      </c>
      <c r="K241" s="186">
        <f t="shared" si="97"/>
        <v>37.83790523690773</v>
      </c>
    </row>
    <row r="242" spans="1:11" ht="12.75" customHeight="1">
      <c r="B242" s="187"/>
      <c r="C242" s="116"/>
      <c r="D242" s="117"/>
      <c r="E242" s="188"/>
      <c r="F242" s="116"/>
      <c r="G242" s="117"/>
      <c r="H242" s="189"/>
      <c r="I242" s="174"/>
      <c r="J242" s="174"/>
      <c r="K242" s="190"/>
    </row>
    <row r="243" spans="1:11" ht="12.75" customHeight="1">
      <c r="B243" s="140" t="s">
        <v>81</v>
      </c>
      <c r="C243" s="173">
        <v>130830</v>
      </c>
      <c r="D243" s="141">
        <v>2849</v>
      </c>
      <c r="E243" s="143">
        <f>C243/D243</f>
        <v>45.921375921375919</v>
      </c>
      <c r="F243" s="141">
        <v>64117</v>
      </c>
      <c r="G243" s="141">
        <v>2015</v>
      </c>
      <c r="H243" s="144">
        <f>F243/G243</f>
        <v>31.819851116625308</v>
      </c>
      <c r="I243" s="145">
        <f>C243+F243</f>
        <v>194947</v>
      </c>
      <c r="J243" s="145">
        <f>D243+G243</f>
        <v>4864</v>
      </c>
      <c r="K243" s="146">
        <f>I243/J243</f>
        <v>40.079564144736842</v>
      </c>
    </row>
    <row r="244" spans="1:11" s="192" customFormat="1" ht="12.75" customHeight="1">
      <c r="B244" s="218" t="s">
        <v>78</v>
      </c>
      <c r="C244" s="114"/>
      <c r="D244" s="114"/>
      <c r="E244" s="183"/>
      <c r="F244" s="114"/>
      <c r="G244" s="114"/>
      <c r="H244" s="184"/>
      <c r="I244" s="185"/>
      <c r="J244" s="185"/>
      <c r="K244" s="186"/>
    </row>
    <row r="245" spans="1:11" s="192" customFormat="1" ht="12.75" customHeight="1">
      <c r="B245" s="219" t="s">
        <v>83</v>
      </c>
      <c r="C245" s="205">
        <f>SUM(C236:C241)</f>
        <v>119533</v>
      </c>
      <c r="D245" s="205">
        <f>SUM(D236:D241)</f>
        <v>2606</v>
      </c>
      <c r="E245" s="220"/>
      <c r="F245" s="205">
        <f>SUM(F236:F241)</f>
        <v>61108</v>
      </c>
      <c r="G245" s="205">
        <f>SUM(G236:G241)</f>
        <v>1904</v>
      </c>
      <c r="H245" s="221"/>
      <c r="I245" s="222">
        <f>C245+F245</f>
        <v>180641</v>
      </c>
      <c r="J245" s="222">
        <f>D245+G245</f>
        <v>4510</v>
      </c>
      <c r="K245" s="223"/>
    </row>
    <row r="246" spans="1:11" ht="12.75" customHeight="1">
      <c r="B246" s="211" t="s">
        <v>80</v>
      </c>
      <c r="C246" s="203"/>
      <c r="D246" s="203"/>
      <c r="F246" s="203"/>
      <c r="G246" s="203"/>
      <c r="I246" s="204"/>
      <c r="J246" s="204"/>
      <c r="K246" s="2"/>
    </row>
    <row r="247" spans="1:11" ht="12.75" customHeight="1">
      <c r="B247" s="197"/>
      <c r="C247" s="118"/>
      <c r="D247" s="118"/>
      <c r="F247" s="118"/>
      <c r="G247" s="118"/>
      <c r="I247" s="118"/>
      <c r="J247" s="118"/>
    </row>
    <row r="248" spans="1:11" ht="12.75" customHeight="1">
      <c r="B248" s="197"/>
      <c r="C248" s="118"/>
      <c r="D248" s="118"/>
      <c r="F248" s="118"/>
      <c r="G248" s="118"/>
      <c r="I248" s="118"/>
      <c r="J248" s="118"/>
    </row>
    <row r="249" spans="1:11" ht="12.75" customHeight="1">
      <c r="B249" s="85"/>
      <c r="C249" s="85"/>
      <c r="D249" s="85"/>
      <c r="E249" s="85"/>
      <c r="F249" s="85"/>
      <c r="G249" s="85"/>
      <c r="H249" s="85"/>
      <c r="I249" s="85"/>
      <c r="J249" s="85"/>
      <c r="K249" s="85"/>
    </row>
    <row r="251" spans="1:11" ht="13.2">
      <c r="B251" s="22" t="s">
        <v>67</v>
      </c>
      <c r="C251" s="327" t="s">
        <v>2</v>
      </c>
      <c r="D251" s="327"/>
      <c r="E251" s="328"/>
      <c r="F251" s="329" t="s">
        <v>3</v>
      </c>
      <c r="G251" s="327"/>
      <c r="H251" s="328"/>
      <c r="I251" s="330" t="s">
        <v>4</v>
      </c>
      <c r="J251" s="331"/>
      <c r="K251" s="331"/>
    </row>
    <row r="252" spans="1:11" s="94" customFormat="1" ht="13.2">
      <c r="A252" s="36"/>
      <c r="C252" s="148" t="s">
        <v>5</v>
      </c>
      <c r="D252" s="149" t="s">
        <v>6</v>
      </c>
      <c r="E252" s="153" t="s">
        <v>7</v>
      </c>
      <c r="F252" s="150" t="s">
        <v>5</v>
      </c>
      <c r="G252" s="151" t="s">
        <v>6</v>
      </c>
      <c r="H252" s="154" t="s">
        <v>8</v>
      </c>
      <c r="I252" s="152" t="s">
        <v>5</v>
      </c>
      <c r="J252" s="152" t="s">
        <v>6</v>
      </c>
      <c r="K252" s="155" t="s">
        <v>8</v>
      </c>
    </row>
    <row r="253" spans="1:11" ht="13.2">
      <c r="A253" s="97"/>
      <c r="B253" s="47" t="s">
        <v>9</v>
      </c>
      <c r="C253" s="112">
        <f>10122+7775</f>
        <v>17897</v>
      </c>
      <c r="D253" s="113">
        <f>195+263</f>
        <v>458</v>
      </c>
      <c r="E253" s="50">
        <f t="shared" ref="E253:E258" si="98">C253/D253</f>
        <v>39.0764192139738</v>
      </c>
      <c r="F253" s="119">
        <f>856+329</f>
        <v>1185</v>
      </c>
      <c r="G253" s="120">
        <f>79+31</f>
        <v>110</v>
      </c>
      <c r="H253" s="51">
        <f t="shared" ref="H253:H258" si="99">F253/G253</f>
        <v>10.772727272727273</v>
      </c>
      <c r="I253" s="135">
        <f t="shared" ref="I253:I258" si="100">C253+F253</f>
        <v>19082</v>
      </c>
      <c r="J253" s="135">
        <f t="shared" ref="J253:J258" si="101">D253+G253</f>
        <v>568</v>
      </c>
      <c r="K253" s="53">
        <f t="shared" ref="K253:K258" si="102">I253/J253</f>
        <v>33.595070422535208</v>
      </c>
    </row>
    <row r="254" spans="1:11" ht="13.2">
      <c r="A254" s="46"/>
      <c r="B254" s="55" t="s">
        <v>10</v>
      </c>
      <c r="C254" s="114">
        <f>5221+7122</f>
        <v>12343</v>
      </c>
      <c r="D254" s="115">
        <f>64+154</f>
        <v>218</v>
      </c>
      <c r="E254" s="58">
        <f t="shared" si="98"/>
        <v>56.61926605504587</v>
      </c>
      <c r="F254" s="121">
        <f>605+14</f>
        <v>619</v>
      </c>
      <c r="G254" s="122">
        <f>28+3</f>
        <v>31</v>
      </c>
      <c r="H254" s="59">
        <f t="shared" si="99"/>
        <v>19.967741935483872</v>
      </c>
      <c r="I254" s="136">
        <f t="shared" si="100"/>
        <v>12962</v>
      </c>
      <c r="J254" s="136">
        <f t="shared" si="101"/>
        <v>249</v>
      </c>
      <c r="K254" s="61">
        <f t="shared" si="102"/>
        <v>52.056224899598391</v>
      </c>
    </row>
    <row r="255" spans="1:11" ht="13.2">
      <c r="A255" s="54"/>
      <c r="B255" s="55" t="s">
        <v>11</v>
      </c>
      <c r="C255" s="114">
        <f>4875+3304</f>
        <v>8179</v>
      </c>
      <c r="D255" s="115">
        <f>123+146</f>
        <v>269</v>
      </c>
      <c r="E255" s="58">
        <f t="shared" si="98"/>
        <v>30.405204460966544</v>
      </c>
      <c r="F255" s="121">
        <f>553+167</f>
        <v>720</v>
      </c>
      <c r="G255" s="122">
        <f>68+12</f>
        <v>80</v>
      </c>
      <c r="H255" s="59">
        <f t="shared" si="99"/>
        <v>9</v>
      </c>
      <c r="I255" s="136">
        <f t="shared" si="100"/>
        <v>8899</v>
      </c>
      <c r="J255" s="136">
        <f t="shared" si="101"/>
        <v>349</v>
      </c>
      <c r="K255" s="61">
        <f t="shared" si="102"/>
        <v>25.498567335243553</v>
      </c>
    </row>
    <row r="256" spans="1:11" ht="13.2">
      <c r="A256" s="54"/>
      <c r="B256" s="55" t="s">
        <v>12</v>
      </c>
      <c r="C256" s="114">
        <f>11486+12626</f>
        <v>24112</v>
      </c>
      <c r="D256" s="115">
        <f>244+396</f>
        <v>640</v>
      </c>
      <c r="E256" s="58">
        <f t="shared" si="98"/>
        <v>37.674999999999997</v>
      </c>
      <c r="F256" s="121">
        <f>1792+264</f>
        <v>2056</v>
      </c>
      <c r="G256" s="122">
        <f>130+11</f>
        <v>141</v>
      </c>
      <c r="H256" s="59">
        <f t="shared" si="99"/>
        <v>14.581560283687944</v>
      </c>
      <c r="I256" s="136">
        <f t="shared" si="100"/>
        <v>26168</v>
      </c>
      <c r="J256" s="136">
        <f t="shared" si="101"/>
        <v>781</v>
      </c>
      <c r="K256" s="61">
        <f t="shared" si="102"/>
        <v>33.505761843790012</v>
      </c>
    </row>
    <row r="257" spans="1:12" ht="13.2">
      <c r="A257" s="54"/>
      <c r="B257" s="55" t="s">
        <v>21</v>
      </c>
      <c r="C257" s="114">
        <f>11503+7451</f>
        <v>18954</v>
      </c>
      <c r="D257" s="115">
        <f>225+198</f>
        <v>423</v>
      </c>
      <c r="E257" s="58">
        <f t="shared" si="98"/>
        <v>44.808510638297875</v>
      </c>
      <c r="F257" s="121">
        <f>1032+199</f>
        <v>1231</v>
      </c>
      <c r="G257" s="122">
        <f>106+25</f>
        <v>131</v>
      </c>
      <c r="H257" s="59">
        <f t="shared" si="99"/>
        <v>9.3969465648854964</v>
      </c>
      <c r="I257" s="136">
        <f t="shared" si="100"/>
        <v>20185</v>
      </c>
      <c r="J257" s="136">
        <f t="shared" si="101"/>
        <v>554</v>
      </c>
      <c r="K257" s="61">
        <f t="shared" si="102"/>
        <v>36.435018050541515</v>
      </c>
    </row>
    <row r="258" spans="1:12" ht="13.2">
      <c r="A258" s="54"/>
      <c r="B258" s="55" t="s">
        <v>13</v>
      </c>
      <c r="C258" s="114">
        <f>69110+17810</f>
        <v>86920</v>
      </c>
      <c r="D258" s="115">
        <f>1686+638</f>
        <v>2324</v>
      </c>
      <c r="E258" s="58">
        <f t="shared" si="98"/>
        <v>37.401032702237522</v>
      </c>
      <c r="F258" s="121">
        <f>2027+665</f>
        <v>2692</v>
      </c>
      <c r="G258" s="122">
        <f>171+46</f>
        <v>217</v>
      </c>
      <c r="H258" s="59">
        <f t="shared" si="99"/>
        <v>12.40552995391705</v>
      </c>
      <c r="I258" s="136">
        <f t="shared" si="100"/>
        <v>89612</v>
      </c>
      <c r="J258" s="136">
        <f t="shared" si="101"/>
        <v>2541</v>
      </c>
      <c r="K258" s="61">
        <f t="shared" si="102"/>
        <v>35.26643053915781</v>
      </c>
    </row>
    <row r="259" spans="1:12" ht="13.2">
      <c r="A259" s="54"/>
      <c r="B259" s="63"/>
      <c r="C259" s="116"/>
      <c r="D259" s="117"/>
      <c r="E259" s="66"/>
      <c r="F259" s="123"/>
      <c r="G259" s="124"/>
      <c r="H259" s="67"/>
      <c r="I259" s="137"/>
      <c r="J259" s="137"/>
      <c r="K259" s="69"/>
    </row>
    <row r="260" spans="1:12" s="147" customFormat="1" ht="13.2">
      <c r="A260" s="62"/>
      <c r="B260" s="140" t="s">
        <v>81</v>
      </c>
      <c r="C260" s="141">
        <f>C271-C266</f>
        <v>184058</v>
      </c>
      <c r="D260" s="141">
        <f>D271-D266</f>
        <v>4734</v>
      </c>
      <c r="E260" s="143">
        <f>C260/D260</f>
        <v>38.880016899028305</v>
      </c>
      <c r="F260" s="141">
        <f>F271-F266</f>
        <v>9236</v>
      </c>
      <c r="G260" s="141">
        <f>G271-G266</f>
        <v>767</v>
      </c>
      <c r="H260" s="144">
        <f>F260/G260</f>
        <v>12.041720990873534</v>
      </c>
      <c r="I260" s="145">
        <f>C260+F260</f>
        <v>193294</v>
      </c>
      <c r="J260" s="145">
        <f>D260+G260</f>
        <v>5501</v>
      </c>
      <c r="K260" s="146">
        <f>I260/J260</f>
        <v>35.137974913652066</v>
      </c>
    </row>
    <row r="261" spans="1:12" s="147" customFormat="1" ht="13.2">
      <c r="A261" s="43"/>
      <c r="B261" s="218" t="s">
        <v>78</v>
      </c>
      <c r="C261" s="222"/>
      <c r="D261" s="222"/>
      <c r="E261" s="225"/>
      <c r="F261" s="222"/>
      <c r="G261" s="222"/>
      <c r="H261" s="224"/>
      <c r="I261" s="222"/>
      <c r="J261" s="222"/>
      <c r="K261" s="223"/>
    </row>
    <row r="262" spans="1:12" s="147" customFormat="1" ht="13.2">
      <c r="A262" s="62"/>
      <c r="B262" s="219" t="s">
        <v>83</v>
      </c>
      <c r="C262" s="205">
        <f>SUM(C253:C258)</f>
        <v>168405</v>
      </c>
      <c r="D262" s="205">
        <f>SUM(D253:D258)</f>
        <v>4332</v>
      </c>
      <c r="E262" s="220"/>
      <c r="F262" s="205">
        <f t="shared" ref="F262:J262" si="103">SUM(F253:F258)</f>
        <v>8503</v>
      </c>
      <c r="G262" s="205">
        <f t="shared" si="103"/>
        <v>710</v>
      </c>
      <c r="H262" s="221"/>
      <c r="I262" s="222">
        <f t="shared" si="103"/>
        <v>176908</v>
      </c>
      <c r="J262" s="222">
        <f t="shared" si="103"/>
        <v>5042</v>
      </c>
      <c r="K262" s="223"/>
    </row>
    <row r="263" spans="1:12" ht="13.2">
      <c r="B263" s="211" t="s">
        <v>80</v>
      </c>
      <c r="C263" s="118"/>
      <c r="D263" s="118"/>
      <c r="F263" s="125"/>
      <c r="G263" s="125"/>
      <c r="I263" s="125"/>
      <c r="J263" s="125"/>
    </row>
    <row r="264" spans="1:12" ht="6.75" customHeight="1">
      <c r="C264" s="118"/>
      <c r="D264" s="118"/>
      <c r="F264" s="125"/>
      <c r="G264" s="125"/>
      <c r="I264" s="125"/>
      <c r="J264" s="125"/>
    </row>
    <row r="265" spans="1:12" ht="6.75" customHeight="1">
      <c r="C265" s="118"/>
      <c r="D265" s="118"/>
      <c r="F265" s="125"/>
      <c r="G265" s="125"/>
      <c r="I265" s="125"/>
      <c r="J265" s="125"/>
    </row>
    <row r="266" spans="1:12" ht="13.2">
      <c r="B266" s="27" t="s">
        <v>22</v>
      </c>
      <c r="C266" s="112">
        <f>5587</f>
        <v>5587</v>
      </c>
      <c r="D266" s="113">
        <v>111</v>
      </c>
      <c r="E266" s="73">
        <f>C266/D266</f>
        <v>50.333333333333336</v>
      </c>
      <c r="F266" s="119">
        <f>157+44</f>
        <v>201</v>
      </c>
      <c r="G266" s="120">
        <f>16+7</f>
        <v>23</v>
      </c>
      <c r="H266" s="73">
        <f>F266/G266</f>
        <v>8.7391304347826093</v>
      </c>
      <c r="I266" s="135">
        <f t="shared" ref="I266:J268" si="104">C266+F266</f>
        <v>5788</v>
      </c>
      <c r="J266" s="135">
        <f t="shared" si="104"/>
        <v>134</v>
      </c>
      <c r="K266" s="74">
        <f>I266/J266</f>
        <v>43.194029850746269</v>
      </c>
    </row>
    <row r="267" spans="1:12" ht="13.2">
      <c r="A267" s="26"/>
      <c r="B267" s="27" t="s">
        <v>23</v>
      </c>
      <c r="C267" s="112">
        <v>4070</v>
      </c>
      <c r="D267" s="113">
        <v>51</v>
      </c>
      <c r="E267" s="73">
        <f>C267/D267</f>
        <v>79.803921568627445</v>
      </c>
      <c r="F267" s="126">
        <v>0</v>
      </c>
      <c r="G267" s="127">
        <v>0</v>
      </c>
      <c r="H267" s="73"/>
      <c r="I267" s="135">
        <f t="shared" si="104"/>
        <v>4070</v>
      </c>
      <c r="J267" s="135">
        <f t="shared" si="104"/>
        <v>51</v>
      </c>
      <c r="K267" s="74">
        <f>I267/J267</f>
        <v>79.803921568627445</v>
      </c>
    </row>
    <row r="268" spans="1:12" ht="13.2">
      <c r="A268" s="26"/>
      <c r="B268" s="27" t="s">
        <v>24</v>
      </c>
      <c r="C268" s="112">
        <f>8518+3065</f>
        <v>11583</v>
      </c>
      <c r="D268" s="113">
        <f>222+129</f>
        <v>351</v>
      </c>
      <c r="E268" s="73">
        <f>C268/D268</f>
        <v>33</v>
      </c>
      <c r="F268" s="119">
        <f>472+261</f>
        <v>733</v>
      </c>
      <c r="G268" s="120">
        <f>40+17</f>
        <v>57</v>
      </c>
      <c r="H268" s="73">
        <f>F268/G268</f>
        <v>12.859649122807017</v>
      </c>
      <c r="I268" s="135">
        <f t="shared" si="104"/>
        <v>12316</v>
      </c>
      <c r="J268" s="135">
        <f t="shared" si="104"/>
        <v>408</v>
      </c>
      <c r="K268" s="74">
        <f>I268/J268</f>
        <v>30.186274509803923</v>
      </c>
    </row>
    <row r="269" spans="1:12" ht="13.2">
      <c r="A269" s="26"/>
      <c r="B269" s="27"/>
      <c r="C269" s="112"/>
      <c r="D269" s="113"/>
      <c r="E269" s="73"/>
      <c r="F269" s="119"/>
      <c r="G269" s="120"/>
      <c r="H269" s="73"/>
      <c r="I269" s="135"/>
      <c r="J269" s="135"/>
      <c r="K269" s="74"/>
    </row>
    <row r="270" spans="1:12" ht="13.2">
      <c r="A270" s="26"/>
      <c r="B270" s="27"/>
      <c r="C270" s="112"/>
      <c r="D270" s="113"/>
      <c r="E270" s="73"/>
      <c r="F270" s="119"/>
      <c r="G270" s="120"/>
      <c r="H270" s="73"/>
      <c r="I270" s="135"/>
      <c r="J270" s="135"/>
      <c r="K270" s="74"/>
    </row>
    <row r="271" spans="1:12" s="84" customFormat="1" ht="13.2">
      <c r="A271" s="26"/>
      <c r="B271" s="78" t="s">
        <v>25</v>
      </c>
      <c r="C271" s="128">
        <f>124905+64740</f>
        <v>189645</v>
      </c>
      <c r="D271" s="129">
        <f>2810+2035</f>
        <v>4845</v>
      </c>
      <c r="E271" s="130">
        <f>C271/D271</f>
        <v>39.142414860681114</v>
      </c>
      <c r="F271" s="131">
        <f>7494+1943</f>
        <v>9437</v>
      </c>
      <c r="G271" s="131">
        <f>638+152</f>
        <v>790</v>
      </c>
      <c r="H271" s="130">
        <f>F271/G271</f>
        <v>11.945569620253165</v>
      </c>
      <c r="I271" s="132">
        <f>C271+F271</f>
        <v>199082</v>
      </c>
      <c r="J271" s="132">
        <f>D271+G271</f>
        <v>5635</v>
      </c>
      <c r="K271" s="133">
        <f>I271/J271</f>
        <v>35.329547471162378</v>
      </c>
      <c r="L271" s="134"/>
    </row>
    <row r="272" spans="1:12" s="84" customFormat="1" ht="5.25" customHeight="1">
      <c r="A272" s="26"/>
      <c r="B272" s="227"/>
      <c r="C272" s="228"/>
      <c r="D272" s="228"/>
      <c r="E272" s="229"/>
      <c r="F272" s="230"/>
      <c r="G272" s="230"/>
      <c r="H272" s="229"/>
      <c r="I272" s="230"/>
      <c r="J272" s="230"/>
      <c r="K272" s="229"/>
      <c r="L272" s="134"/>
    </row>
    <row r="273" spans="1:12" s="84" customFormat="1" ht="5.25" customHeight="1">
      <c r="A273" s="26"/>
      <c r="B273" s="193"/>
      <c r="C273" s="194"/>
      <c r="D273" s="194"/>
      <c r="E273" s="195"/>
      <c r="F273" s="196"/>
      <c r="G273" s="196"/>
      <c r="H273" s="195"/>
      <c r="I273" s="196"/>
      <c r="J273" s="196"/>
      <c r="K273" s="195"/>
      <c r="L273" s="134"/>
    </row>
    <row r="274" spans="1:12" s="84" customFormat="1" ht="13.2">
      <c r="A274" s="26"/>
      <c r="B274" s="22" t="s">
        <v>67</v>
      </c>
      <c r="C274" s="327" t="s">
        <v>75</v>
      </c>
      <c r="D274" s="327"/>
      <c r="E274" s="328"/>
      <c r="F274" s="329" t="s">
        <v>76</v>
      </c>
      <c r="G274" s="327"/>
      <c r="H274" s="328"/>
      <c r="I274" s="330" t="s">
        <v>77</v>
      </c>
      <c r="J274" s="331"/>
      <c r="K274" s="331"/>
      <c r="L274" s="134"/>
    </row>
    <row r="275" spans="1:12" s="84" customFormat="1" ht="13.2">
      <c r="A275" s="26"/>
      <c r="B275" s="94"/>
      <c r="C275" s="148" t="s">
        <v>5</v>
      </c>
      <c r="D275" s="149" t="s">
        <v>6</v>
      </c>
      <c r="E275" s="153" t="s">
        <v>7</v>
      </c>
      <c r="F275" s="150" t="s">
        <v>5</v>
      </c>
      <c r="G275" s="151" t="s">
        <v>6</v>
      </c>
      <c r="H275" s="154" t="s">
        <v>8</v>
      </c>
      <c r="I275" s="152" t="s">
        <v>5</v>
      </c>
      <c r="J275" s="152" t="s">
        <v>6</v>
      </c>
      <c r="K275" s="155" t="s">
        <v>8</v>
      </c>
      <c r="L275" s="134"/>
    </row>
    <row r="276" spans="1:12" s="84" customFormat="1" ht="13.2">
      <c r="A276" s="26"/>
      <c r="B276" s="177" t="s">
        <v>9</v>
      </c>
      <c r="C276" s="112">
        <v>10122</v>
      </c>
      <c r="D276" s="113">
        <v>195</v>
      </c>
      <c r="E276" s="178">
        <f t="shared" ref="E276:E281" si="105">C276/D276</f>
        <v>51.907692307692308</v>
      </c>
      <c r="F276" s="112">
        <v>7775</v>
      </c>
      <c r="G276" s="113">
        <v>263</v>
      </c>
      <c r="H276" s="179">
        <f t="shared" ref="H276:H281" si="106">F276/G276</f>
        <v>29.562737642585553</v>
      </c>
      <c r="I276" s="180">
        <f t="shared" ref="I276:I281" si="107">C276+F276</f>
        <v>17897</v>
      </c>
      <c r="J276" s="180">
        <f t="shared" ref="J276:J281" si="108">D276+G276</f>
        <v>458</v>
      </c>
      <c r="K276" s="181">
        <f t="shared" ref="K276:K281" si="109">I276/J276</f>
        <v>39.0764192139738</v>
      </c>
      <c r="L276" s="134"/>
    </row>
    <row r="277" spans="1:12" s="84" customFormat="1" ht="13.2">
      <c r="A277" s="26"/>
      <c r="B277" s="182" t="s">
        <v>10</v>
      </c>
      <c r="C277" s="114">
        <v>5221</v>
      </c>
      <c r="D277" s="115">
        <v>64</v>
      </c>
      <c r="E277" s="183">
        <f t="shared" si="105"/>
        <v>81.578125</v>
      </c>
      <c r="F277" s="114">
        <v>7122</v>
      </c>
      <c r="G277" s="115">
        <v>154</v>
      </c>
      <c r="H277" s="184">
        <f t="shared" si="106"/>
        <v>46.246753246753244</v>
      </c>
      <c r="I277" s="185">
        <f t="shared" si="107"/>
        <v>12343</v>
      </c>
      <c r="J277" s="185">
        <f t="shared" si="108"/>
        <v>218</v>
      </c>
      <c r="K277" s="186">
        <f t="shared" si="109"/>
        <v>56.61926605504587</v>
      </c>
      <c r="L277" s="134"/>
    </row>
    <row r="278" spans="1:12" s="84" customFormat="1" ht="13.2">
      <c r="A278" s="26"/>
      <c r="B278" s="182" t="s">
        <v>11</v>
      </c>
      <c r="C278" s="114">
        <v>4875</v>
      </c>
      <c r="D278" s="115">
        <v>123</v>
      </c>
      <c r="E278" s="183">
        <f t="shared" si="105"/>
        <v>39.634146341463413</v>
      </c>
      <c r="F278" s="114">
        <v>3304</v>
      </c>
      <c r="G278" s="115">
        <v>146</v>
      </c>
      <c r="H278" s="184">
        <f t="shared" si="106"/>
        <v>22.63013698630137</v>
      </c>
      <c r="I278" s="185">
        <f t="shared" si="107"/>
        <v>8179</v>
      </c>
      <c r="J278" s="185">
        <f t="shared" si="108"/>
        <v>269</v>
      </c>
      <c r="K278" s="186">
        <f t="shared" si="109"/>
        <v>30.405204460966544</v>
      </c>
      <c r="L278" s="134"/>
    </row>
    <row r="279" spans="1:12" s="84" customFormat="1" ht="13.2">
      <c r="A279" s="26"/>
      <c r="B279" s="182" t="s">
        <v>12</v>
      </c>
      <c r="C279" s="114">
        <v>11486</v>
      </c>
      <c r="D279" s="115">
        <v>244</v>
      </c>
      <c r="E279" s="183">
        <f t="shared" si="105"/>
        <v>47.07377049180328</v>
      </c>
      <c r="F279" s="114">
        <v>12626</v>
      </c>
      <c r="G279" s="115">
        <v>396</v>
      </c>
      <c r="H279" s="184">
        <f t="shared" si="106"/>
        <v>31.883838383838384</v>
      </c>
      <c r="I279" s="185">
        <f t="shared" si="107"/>
        <v>24112</v>
      </c>
      <c r="J279" s="185">
        <f t="shared" si="108"/>
        <v>640</v>
      </c>
      <c r="K279" s="186">
        <f t="shared" si="109"/>
        <v>37.674999999999997</v>
      </c>
      <c r="L279" s="134"/>
    </row>
    <row r="280" spans="1:12" s="84" customFormat="1" ht="13.2">
      <c r="A280" s="26"/>
      <c r="B280" s="182" t="s">
        <v>21</v>
      </c>
      <c r="C280" s="114">
        <v>11503</v>
      </c>
      <c r="D280" s="115">
        <v>225</v>
      </c>
      <c r="E280" s="183">
        <f t="shared" si="105"/>
        <v>51.124444444444443</v>
      </c>
      <c r="F280" s="114">
        <v>7451</v>
      </c>
      <c r="G280" s="115">
        <v>198</v>
      </c>
      <c r="H280" s="184">
        <f t="shared" si="106"/>
        <v>37.631313131313128</v>
      </c>
      <c r="I280" s="185">
        <f t="shared" si="107"/>
        <v>18954</v>
      </c>
      <c r="J280" s="185">
        <f t="shared" si="108"/>
        <v>423</v>
      </c>
      <c r="K280" s="186">
        <f t="shared" si="109"/>
        <v>44.808510638297875</v>
      </c>
      <c r="L280" s="134"/>
    </row>
    <row r="281" spans="1:12" s="84" customFormat="1" ht="13.2">
      <c r="A281" s="26"/>
      <c r="B281" s="182" t="s">
        <v>13</v>
      </c>
      <c r="C281" s="114">
        <v>69110</v>
      </c>
      <c r="D281" s="115">
        <v>1686</v>
      </c>
      <c r="E281" s="183">
        <f t="shared" si="105"/>
        <v>40.990510083036774</v>
      </c>
      <c r="F281" s="114">
        <v>17810</v>
      </c>
      <c r="G281" s="115">
        <v>638</v>
      </c>
      <c r="H281" s="184">
        <f t="shared" si="106"/>
        <v>27.915360501567399</v>
      </c>
      <c r="I281" s="185">
        <f t="shared" si="107"/>
        <v>86920</v>
      </c>
      <c r="J281" s="185">
        <f t="shared" si="108"/>
        <v>2324</v>
      </c>
      <c r="K281" s="186">
        <f t="shared" si="109"/>
        <v>37.401032702237522</v>
      </c>
      <c r="L281" s="134"/>
    </row>
    <row r="282" spans="1:12" s="84" customFormat="1" ht="13.2">
      <c r="A282" s="26"/>
      <c r="B282" s="187"/>
      <c r="C282" s="116"/>
      <c r="D282" s="117"/>
      <c r="E282" s="188"/>
      <c r="F282" s="116"/>
      <c r="G282" s="117"/>
      <c r="H282" s="189"/>
      <c r="I282" s="174"/>
      <c r="J282" s="174"/>
      <c r="K282" s="190"/>
      <c r="L282" s="134"/>
    </row>
    <row r="283" spans="1:12" ht="12.75" customHeight="1">
      <c r="B283" s="140" t="s">
        <v>81</v>
      </c>
      <c r="C283" s="173">
        <f>C285+C288+C289</f>
        <v>124905</v>
      </c>
      <c r="D283" s="173">
        <f>D285+D288+D289</f>
        <v>2810</v>
      </c>
      <c r="E283" s="143">
        <f>C283/D283</f>
        <v>44.45017793594306</v>
      </c>
      <c r="F283" s="173">
        <f>F285+F288+F289</f>
        <v>59153</v>
      </c>
      <c r="G283" s="173">
        <f>G285+G288+G289</f>
        <v>1924</v>
      </c>
      <c r="H283" s="144">
        <f>F283/G283</f>
        <v>30.744802494802496</v>
      </c>
      <c r="I283" s="145">
        <f>C283+F283</f>
        <v>184058</v>
      </c>
      <c r="J283" s="145">
        <f>D283+G283</f>
        <v>4734</v>
      </c>
      <c r="K283" s="146">
        <f>I283/J283</f>
        <v>38.880016899028305</v>
      </c>
    </row>
    <row r="284" spans="1:12" s="84" customFormat="1" ht="13.2">
      <c r="A284" s="26"/>
      <c r="B284" s="218" t="s">
        <v>78</v>
      </c>
      <c r="C284" s="114"/>
      <c r="D284" s="114"/>
      <c r="E284" s="183"/>
      <c r="F284" s="114"/>
      <c r="G284" s="114"/>
      <c r="H284" s="184"/>
      <c r="I284" s="185"/>
      <c r="J284" s="185"/>
      <c r="K284" s="186"/>
      <c r="L284" s="134"/>
    </row>
    <row r="285" spans="1:12" s="84" customFormat="1" ht="13.2">
      <c r="A285" s="26"/>
      <c r="B285" s="219" t="s">
        <v>83</v>
      </c>
      <c r="C285" s="205">
        <f>SUM(C276:C282)</f>
        <v>112317</v>
      </c>
      <c r="D285" s="205">
        <f>SUM(D276:D282)</f>
        <v>2537</v>
      </c>
      <c r="E285" s="220"/>
      <c r="F285" s="205">
        <f>SUM(F276:F281)</f>
        <v>56088</v>
      </c>
      <c r="G285" s="205">
        <f>SUM(G276:G281)</f>
        <v>1795</v>
      </c>
      <c r="H285" s="221"/>
      <c r="I285" s="222">
        <f>C285+F285</f>
        <v>168405</v>
      </c>
      <c r="J285" s="222">
        <f>D285+G285</f>
        <v>4332</v>
      </c>
      <c r="K285" s="223"/>
      <c r="L285" s="134"/>
    </row>
    <row r="286" spans="1:12" s="84" customFormat="1" ht="13.2">
      <c r="A286" s="26"/>
      <c r="B286" s="210" t="s">
        <v>80</v>
      </c>
      <c r="C286" s="116"/>
      <c r="D286" s="116"/>
      <c r="E286" s="234"/>
      <c r="F286" s="116"/>
      <c r="G286" s="116"/>
      <c r="H286" s="234"/>
      <c r="I286" s="174"/>
      <c r="J286" s="174"/>
      <c r="K286" s="175"/>
      <c r="L286" s="134"/>
    </row>
    <row r="287" spans="1:12" s="84" customFormat="1" ht="13.2">
      <c r="A287" s="26"/>
      <c r="B287" s="211"/>
      <c r="C287" s="203"/>
      <c r="D287" s="203"/>
      <c r="E287" s="235"/>
      <c r="F287" s="203"/>
      <c r="G287" s="203"/>
      <c r="H287" s="235"/>
      <c r="I287" s="204"/>
      <c r="J287" s="204"/>
      <c r="K287" s="2"/>
      <c r="L287" s="134"/>
    </row>
    <row r="288" spans="1:12" ht="13.2">
      <c r="A288" s="26"/>
      <c r="B288" s="27" t="s">
        <v>23</v>
      </c>
      <c r="C288" s="112">
        <v>4070</v>
      </c>
      <c r="D288" s="113">
        <v>51</v>
      </c>
      <c r="E288" s="73">
        <f>C288/D288</f>
        <v>79.803921568627445</v>
      </c>
      <c r="F288" s="126">
        <v>0</v>
      </c>
      <c r="G288" s="127">
        <v>0</v>
      </c>
      <c r="H288" s="73"/>
      <c r="I288" s="135">
        <f t="shared" ref="I288" si="110">C288+F288</f>
        <v>4070</v>
      </c>
      <c r="J288" s="135">
        <f t="shared" ref="J288" si="111">D288+G288</f>
        <v>51</v>
      </c>
      <c r="K288" s="73">
        <f>I288/J288</f>
        <v>79.803921568627445</v>
      </c>
    </row>
    <row r="289" spans="1:11" ht="13.2">
      <c r="A289" s="26"/>
      <c r="B289" s="27" t="s">
        <v>24</v>
      </c>
      <c r="C289" s="112">
        <v>8518</v>
      </c>
      <c r="D289" s="113">
        <v>222</v>
      </c>
      <c r="E289" s="73">
        <f>C289/D289</f>
        <v>38.369369369369366</v>
      </c>
      <c r="F289" s="119">
        <v>3065</v>
      </c>
      <c r="G289" s="120">
        <v>129</v>
      </c>
      <c r="H289" s="73">
        <f>F289/G289</f>
        <v>23.759689922480622</v>
      </c>
      <c r="I289" s="135">
        <f t="shared" ref="I289" si="112">C289+F289</f>
        <v>11583</v>
      </c>
      <c r="J289" s="135">
        <f t="shared" ref="J289" si="113">D289+G289</f>
        <v>351</v>
      </c>
      <c r="K289" s="73">
        <f>I289/J289</f>
        <v>33</v>
      </c>
    </row>
    <row r="290" spans="1:11" ht="13.2">
      <c r="C290" s="118"/>
      <c r="D290" s="118"/>
    </row>
    <row r="291" spans="1:11" ht="13.2">
      <c r="B291" s="85"/>
      <c r="C291" s="85"/>
      <c r="D291" s="85"/>
      <c r="E291" s="85"/>
      <c r="F291" s="85"/>
      <c r="G291" s="85"/>
      <c r="H291" s="85"/>
      <c r="I291" s="85"/>
      <c r="J291" s="85"/>
      <c r="K291" s="85"/>
    </row>
    <row r="292" spans="1:11" ht="13.2">
      <c r="B292" s="22" t="s">
        <v>31</v>
      </c>
      <c r="C292" s="327" t="s">
        <v>2</v>
      </c>
      <c r="D292" s="327"/>
      <c r="E292" s="328"/>
      <c r="F292" s="329" t="s">
        <v>3</v>
      </c>
      <c r="G292" s="327"/>
      <c r="H292" s="328"/>
      <c r="I292" s="330" t="s">
        <v>4</v>
      </c>
      <c r="J292" s="331"/>
      <c r="K292" s="331"/>
    </row>
    <row r="293" spans="1:11" s="94" customFormat="1" ht="13.2">
      <c r="A293" s="36"/>
      <c r="C293" s="148" t="s">
        <v>5</v>
      </c>
      <c r="D293" s="149" t="s">
        <v>6</v>
      </c>
      <c r="E293" s="153" t="s">
        <v>7</v>
      </c>
      <c r="F293" s="150" t="s">
        <v>5</v>
      </c>
      <c r="G293" s="151" t="s">
        <v>6</v>
      </c>
      <c r="H293" s="154" t="s">
        <v>8</v>
      </c>
      <c r="I293" s="152" t="s">
        <v>5</v>
      </c>
      <c r="J293" s="152" t="s">
        <v>6</v>
      </c>
      <c r="K293" s="155" t="s">
        <v>8</v>
      </c>
    </row>
    <row r="294" spans="1:11" ht="13.2">
      <c r="A294" s="97"/>
      <c r="B294" s="47" t="s">
        <v>9</v>
      </c>
      <c r="C294" s="112">
        <f>8841+7115</f>
        <v>15956</v>
      </c>
      <c r="D294" s="113">
        <f>175+262</f>
        <v>437</v>
      </c>
      <c r="E294" s="50">
        <f t="shared" ref="E294:E299" si="114">C294/D294</f>
        <v>36.512585812356981</v>
      </c>
      <c r="F294" s="119">
        <f>745+303</f>
        <v>1048</v>
      </c>
      <c r="G294" s="120">
        <f>81+24</f>
        <v>105</v>
      </c>
      <c r="H294" s="51">
        <f t="shared" ref="H294:H299" si="115">F294/G294</f>
        <v>9.980952380952381</v>
      </c>
      <c r="I294" s="135">
        <f t="shared" ref="I294:J299" si="116">C294+F294</f>
        <v>17004</v>
      </c>
      <c r="J294" s="135">
        <f t="shared" si="116"/>
        <v>542</v>
      </c>
      <c r="K294" s="53">
        <f t="shared" ref="K294:K299" si="117">I294/J294</f>
        <v>31.372693726937268</v>
      </c>
    </row>
    <row r="295" spans="1:11" ht="13.2">
      <c r="A295" s="46"/>
      <c r="B295" s="55" t="s">
        <v>10</v>
      </c>
      <c r="C295" s="114">
        <f>4821+6672</f>
        <v>11493</v>
      </c>
      <c r="D295" s="115">
        <f>51+148</f>
        <v>199</v>
      </c>
      <c r="E295" s="58">
        <f t="shared" si="114"/>
        <v>57.753768844221106</v>
      </c>
      <c r="F295" s="121">
        <f>585+21</f>
        <v>606</v>
      </c>
      <c r="G295" s="122">
        <f>30+5</f>
        <v>35</v>
      </c>
      <c r="H295" s="59">
        <f t="shared" si="115"/>
        <v>17.314285714285713</v>
      </c>
      <c r="I295" s="136">
        <f t="shared" si="116"/>
        <v>12099</v>
      </c>
      <c r="J295" s="136">
        <f t="shared" si="116"/>
        <v>234</v>
      </c>
      <c r="K295" s="61">
        <f t="shared" si="117"/>
        <v>51.705128205128204</v>
      </c>
    </row>
    <row r="296" spans="1:11" ht="13.2">
      <c r="A296" s="54"/>
      <c r="B296" s="55" t="s">
        <v>11</v>
      </c>
      <c r="C296" s="114">
        <v>8032</v>
      </c>
      <c r="D296" s="115">
        <f>131+150</f>
        <v>281</v>
      </c>
      <c r="E296" s="58">
        <f t="shared" si="114"/>
        <v>28.583629893238435</v>
      </c>
      <c r="F296" s="121">
        <f>489+148</f>
        <v>637</v>
      </c>
      <c r="G296" s="122">
        <f>69+10</f>
        <v>79</v>
      </c>
      <c r="H296" s="59">
        <f t="shared" si="115"/>
        <v>8.0632911392405067</v>
      </c>
      <c r="I296" s="136">
        <f t="shared" si="116"/>
        <v>8669</v>
      </c>
      <c r="J296" s="136">
        <f t="shared" si="116"/>
        <v>360</v>
      </c>
      <c r="K296" s="61">
        <f t="shared" si="117"/>
        <v>24.080555555555556</v>
      </c>
    </row>
    <row r="297" spans="1:11" ht="13.2">
      <c r="A297" s="54"/>
      <c r="B297" s="55" t="s">
        <v>12</v>
      </c>
      <c r="C297" s="114">
        <f>10456+11914</f>
        <v>22370</v>
      </c>
      <c r="D297" s="115">
        <f>229+376</f>
        <v>605</v>
      </c>
      <c r="E297" s="58">
        <f t="shared" si="114"/>
        <v>36.97520661157025</v>
      </c>
      <c r="F297" s="121">
        <f>1693+236</f>
        <v>1929</v>
      </c>
      <c r="G297" s="122">
        <f>128+9</f>
        <v>137</v>
      </c>
      <c r="H297" s="59">
        <f t="shared" si="115"/>
        <v>14.08029197080292</v>
      </c>
      <c r="I297" s="136">
        <f t="shared" si="116"/>
        <v>24299</v>
      </c>
      <c r="J297" s="136">
        <f t="shared" si="116"/>
        <v>742</v>
      </c>
      <c r="K297" s="61">
        <f t="shared" si="117"/>
        <v>32.747978436657682</v>
      </c>
    </row>
    <row r="298" spans="1:11" ht="13.2">
      <c r="A298" s="54"/>
      <c r="B298" s="55" t="s">
        <v>21</v>
      </c>
      <c r="C298" s="114">
        <f>11280+6556</f>
        <v>17836</v>
      </c>
      <c r="D298" s="115">
        <f>225+189</f>
        <v>414</v>
      </c>
      <c r="E298" s="58">
        <f t="shared" si="114"/>
        <v>43.082125603864732</v>
      </c>
      <c r="F298" s="121">
        <f>1025+236</f>
        <v>1261</v>
      </c>
      <c r="G298" s="122">
        <f>109+27</f>
        <v>136</v>
      </c>
      <c r="H298" s="59">
        <f t="shared" si="115"/>
        <v>9.2720588235294112</v>
      </c>
      <c r="I298" s="136">
        <f t="shared" si="116"/>
        <v>19097</v>
      </c>
      <c r="J298" s="136">
        <f t="shared" si="116"/>
        <v>550</v>
      </c>
      <c r="K298" s="61">
        <f t="shared" si="117"/>
        <v>34.721818181818179</v>
      </c>
    </row>
    <row r="299" spans="1:11" ht="13.2">
      <c r="A299" s="54"/>
      <c r="B299" s="55" t="s">
        <v>13</v>
      </c>
      <c r="C299" s="114">
        <f>63537+17699</f>
        <v>81236</v>
      </c>
      <c r="D299" s="115">
        <f>1617+658</f>
        <v>2275</v>
      </c>
      <c r="E299" s="58">
        <f t="shared" si="114"/>
        <v>35.708131868131865</v>
      </c>
      <c r="F299" s="121">
        <f>2112+693</f>
        <v>2805</v>
      </c>
      <c r="G299" s="122">
        <f>183+54</f>
        <v>237</v>
      </c>
      <c r="H299" s="59">
        <f t="shared" si="115"/>
        <v>11.835443037974683</v>
      </c>
      <c r="I299" s="136">
        <f t="shared" si="116"/>
        <v>84041</v>
      </c>
      <c r="J299" s="136">
        <f t="shared" si="116"/>
        <v>2512</v>
      </c>
      <c r="K299" s="61">
        <f t="shared" si="117"/>
        <v>33.45581210191083</v>
      </c>
    </row>
    <row r="300" spans="1:11" ht="13.2">
      <c r="A300" s="54"/>
      <c r="B300" s="63"/>
      <c r="C300" s="116"/>
      <c r="D300" s="117"/>
      <c r="E300" s="66"/>
      <c r="F300" s="123"/>
      <c r="G300" s="124"/>
      <c r="H300" s="67"/>
      <c r="I300" s="137"/>
      <c r="J300" s="137"/>
      <c r="K300" s="69"/>
    </row>
    <row r="301" spans="1:11" s="147" customFormat="1" ht="13.2">
      <c r="A301" s="62"/>
      <c r="B301" s="140" t="s">
        <v>81</v>
      </c>
      <c r="C301" s="141">
        <f>C312-C307</f>
        <v>170953</v>
      </c>
      <c r="D301" s="141">
        <f>D312-D307</f>
        <v>4591</v>
      </c>
      <c r="E301" s="143">
        <f>C301/D301</f>
        <v>37.236549771291656</v>
      </c>
      <c r="F301" s="141">
        <f>F312-F307</f>
        <v>8984</v>
      </c>
      <c r="G301" s="141">
        <f>G312-G307</f>
        <v>789</v>
      </c>
      <c r="H301" s="144">
        <f>F301/G301</f>
        <v>11.386565272496831</v>
      </c>
      <c r="I301" s="145">
        <f>C301+F301</f>
        <v>179937</v>
      </c>
      <c r="J301" s="145">
        <f>D301+G301</f>
        <v>5380</v>
      </c>
      <c r="K301" s="146">
        <f>I301/J301</f>
        <v>33.445539033457251</v>
      </c>
    </row>
    <row r="302" spans="1:11" s="147" customFormat="1" ht="13.2">
      <c r="A302" s="43"/>
      <c r="B302" s="218" t="s">
        <v>78</v>
      </c>
      <c r="C302" s="222"/>
      <c r="D302" s="205"/>
      <c r="E302" s="220"/>
      <c r="F302" s="231"/>
      <c r="G302" s="232"/>
      <c r="H302" s="233"/>
      <c r="I302" s="222"/>
      <c r="J302" s="222"/>
      <c r="K302" s="223"/>
    </row>
    <row r="303" spans="1:11" s="147" customFormat="1" ht="13.2">
      <c r="A303" s="62"/>
      <c r="B303" s="140" t="s">
        <v>83</v>
      </c>
      <c r="C303" s="141">
        <f>SUM(C294:C299)</f>
        <v>156923</v>
      </c>
      <c r="D303" s="141">
        <f>SUM(D294:D299)</f>
        <v>4211</v>
      </c>
      <c r="E303" s="143"/>
      <c r="F303" s="141">
        <f t="shared" ref="F303:G303" si="118">SUM(F294:F299)</f>
        <v>8286</v>
      </c>
      <c r="G303" s="141">
        <f t="shared" si="118"/>
        <v>729</v>
      </c>
      <c r="H303" s="144"/>
      <c r="I303" s="145">
        <f t="shared" ref="I303:J303" si="119">SUM(I294:I299)</f>
        <v>165209</v>
      </c>
      <c r="J303" s="145">
        <f t="shared" si="119"/>
        <v>4940</v>
      </c>
      <c r="K303" s="146"/>
    </row>
    <row r="304" spans="1:11" ht="13.2">
      <c r="B304" s="211" t="s">
        <v>80</v>
      </c>
      <c r="C304" s="118"/>
      <c r="D304" s="118"/>
      <c r="F304" s="125"/>
      <c r="G304" s="125"/>
      <c r="I304" s="125"/>
      <c r="J304" s="125"/>
    </row>
    <row r="305" spans="1:12" ht="4.5" customHeight="1">
      <c r="C305" s="118"/>
      <c r="D305" s="118"/>
      <c r="F305" s="125"/>
      <c r="G305" s="125"/>
      <c r="I305" s="125"/>
      <c r="J305" s="125"/>
    </row>
    <row r="306" spans="1:12" ht="4.5" customHeight="1">
      <c r="C306" s="118"/>
      <c r="D306" s="118"/>
      <c r="F306" s="125"/>
      <c r="G306" s="125"/>
      <c r="I306" s="125"/>
      <c r="J306" s="125"/>
    </row>
    <row r="307" spans="1:12" ht="13.2">
      <c r="B307" s="27" t="s">
        <v>22</v>
      </c>
      <c r="C307" s="112">
        <v>5717</v>
      </c>
      <c r="D307" s="113">
        <v>117</v>
      </c>
      <c r="E307" s="73">
        <f>C307/D307</f>
        <v>48.863247863247864</v>
      </c>
      <c r="F307" s="119">
        <f>69+55</f>
        <v>124</v>
      </c>
      <c r="G307" s="120">
        <f>12+8</f>
        <v>20</v>
      </c>
      <c r="H307" s="73">
        <f>F307/G307</f>
        <v>6.2</v>
      </c>
      <c r="I307" s="135">
        <f t="shared" ref="I307:J309" si="120">C307+F307</f>
        <v>5841</v>
      </c>
      <c r="J307" s="135">
        <f t="shared" si="120"/>
        <v>137</v>
      </c>
      <c r="K307" s="74">
        <f>I307/J307</f>
        <v>42.635036496350367</v>
      </c>
    </row>
    <row r="308" spans="1:12" ht="13.2">
      <c r="A308" s="26"/>
      <c r="B308" s="27" t="s">
        <v>23</v>
      </c>
      <c r="C308" s="112">
        <v>3700</v>
      </c>
      <c r="D308" s="113">
        <v>47</v>
      </c>
      <c r="E308" s="73">
        <f>C308/D308</f>
        <v>78.723404255319153</v>
      </c>
      <c r="F308" s="126">
        <v>0</v>
      </c>
      <c r="G308" s="127">
        <v>0</v>
      </c>
      <c r="H308" s="73"/>
      <c r="I308" s="135">
        <f t="shared" si="120"/>
        <v>3700</v>
      </c>
      <c r="J308" s="135">
        <f t="shared" si="120"/>
        <v>47</v>
      </c>
      <c r="K308" s="74">
        <f>I308/J308</f>
        <v>78.723404255319153</v>
      </c>
    </row>
    <row r="309" spans="1:12" ht="13.2">
      <c r="A309" s="26"/>
      <c r="B309" s="27" t="s">
        <v>24</v>
      </c>
      <c r="C309" s="112">
        <f>7539+2791</f>
        <v>10330</v>
      </c>
      <c r="D309" s="113">
        <f>210+123</f>
        <v>333</v>
      </c>
      <c r="E309" s="73">
        <f>C309/D309</f>
        <v>31.021021021021021</v>
      </c>
      <c r="F309" s="119">
        <f>429+269</f>
        <v>698</v>
      </c>
      <c r="G309" s="120">
        <f>43+17</f>
        <v>60</v>
      </c>
      <c r="H309" s="73">
        <f>F309/G309</f>
        <v>11.633333333333333</v>
      </c>
      <c r="I309" s="135">
        <f t="shared" si="120"/>
        <v>11028</v>
      </c>
      <c r="J309" s="135">
        <f t="shared" si="120"/>
        <v>393</v>
      </c>
      <c r="K309" s="74">
        <f>I309/J309</f>
        <v>28.061068702290076</v>
      </c>
    </row>
    <row r="310" spans="1:12" ht="13.2">
      <c r="A310" s="26"/>
      <c r="B310" s="27"/>
      <c r="C310" s="112"/>
      <c r="D310" s="113"/>
      <c r="E310" s="73"/>
      <c r="F310" s="119"/>
      <c r="G310" s="120"/>
      <c r="H310" s="73"/>
      <c r="I310" s="135"/>
      <c r="J310" s="135"/>
      <c r="K310" s="74"/>
    </row>
    <row r="311" spans="1:12" ht="13.2">
      <c r="A311" s="26"/>
      <c r="B311" s="27"/>
      <c r="C311" s="112"/>
      <c r="D311" s="113"/>
      <c r="E311" s="73"/>
      <c r="F311" s="119"/>
      <c r="G311" s="120"/>
      <c r="H311" s="73"/>
      <c r="I311" s="135"/>
      <c r="J311" s="135"/>
      <c r="K311" s="74"/>
    </row>
    <row r="312" spans="1:12" s="84" customFormat="1" ht="13.2">
      <c r="A312" s="26"/>
      <c r="B312" s="78" t="s">
        <v>25</v>
      </c>
      <c r="C312" s="128">
        <f>115023+61647</f>
        <v>176670</v>
      </c>
      <c r="D312" s="129">
        <f>2685+2023</f>
        <v>4708</v>
      </c>
      <c r="E312" s="130">
        <f>C312/D312</f>
        <v>37.525488530161425</v>
      </c>
      <c r="F312" s="131">
        <f>7147+1961</f>
        <v>9108</v>
      </c>
      <c r="G312" s="131">
        <f>655+154</f>
        <v>809</v>
      </c>
      <c r="H312" s="130">
        <f>F312/G312</f>
        <v>11.258343634116192</v>
      </c>
      <c r="I312" s="132">
        <f>C312+F312</f>
        <v>185778</v>
      </c>
      <c r="J312" s="132">
        <f>D312+G312</f>
        <v>5517</v>
      </c>
      <c r="K312" s="133">
        <f>I312/J312</f>
        <v>33.673735725938009</v>
      </c>
      <c r="L312" s="134"/>
    </row>
    <row r="313" spans="1:12" s="84" customFormat="1" ht="5.25" customHeight="1">
      <c r="A313" s="26"/>
      <c r="B313" s="227"/>
      <c r="C313" s="228"/>
      <c r="D313" s="228"/>
      <c r="E313" s="229"/>
      <c r="F313" s="230"/>
      <c r="G313" s="230"/>
      <c r="H313" s="229"/>
      <c r="I313" s="230"/>
      <c r="J313" s="230"/>
      <c r="K313" s="229"/>
      <c r="L313" s="134"/>
    </row>
    <row r="314" spans="1:12" s="84" customFormat="1" ht="5.25" customHeight="1">
      <c r="A314" s="26"/>
      <c r="B314" s="193"/>
      <c r="C314" s="194"/>
      <c r="D314" s="194"/>
      <c r="E314" s="195"/>
      <c r="F314" s="196"/>
      <c r="G314" s="196"/>
      <c r="H314" s="195"/>
      <c r="I314" s="196"/>
      <c r="J314" s="196"/>
      <c r="K314" s="195"/>
      <c r="L314" s="134"/>
    </row>
    <row r="315" spans="1:12" s="84" customFormat="1" ht="13.2">
      <c r="A315" s="26"/>
      <c r="B315" s="22" t="s">
        <v>31</v>
      </c>
      <c r="C315" s="327" t="s">
        <v>75</v>
      </c>
      <c r="D315" s="327"/>
      <c r="E315" s="328"/>
      <c r="F315" s="329" t="s">
        <v>76</v>
      </c>
      <c r="G315" s="327"/>
      <c r="H315" s="328"/>
      <c r="I315" s="330" t="s">
        <v>77</v>
      </c>
      <c r="J315" s="331"/>
      <c r="K315" s="331"/>
      <c r="L315" s="134"/>
    </row>
    <row r="316" spans="1:12" s="84" customFormat="1" ht="13.2">
      <c r="A316" s="26"/>
      <c r="B316" s="94"/>
      <c r="C316" s="148" t="s">
        <v>5</v>
      </c>
      <c r="D316" s="149" t="s">
        <v>6</v>
      </c>
      <c r="E316" s="153" t="s">
        <v>7</v>
      </c>
      <c r="F316" s="150" t="s">
        <v>5</v>
      </c>
      <c r="G316" s="151" t="s">
        <v>6</v>
      </c>
      <c r="H316" s="154" t="s">
        <v>8</v>
      </c>
      <c r="I316" s="152" t="s">
        <v>5</v>
      </c>
      <c r="J316" s="152" t="s">
        <v>6</v>
      </c>
      <c r="K316" s="155" t="s">
        <v>8</v>
      </c>
      <c r="L316" s="134"/>
    </row>
    <row r="317" spans="1:12" s="84" customFormat="1" ht="13.2">
      <c r="A317" s="26"/>
      <c r="B317" s="177" t="s">
        <v>9</v>
      </c>
      <c r="C317" s="112">
        <v>8841</v>
      </c>
      <c r="D317" s="113">
        <v>175</v>
      </c>
      <c r="E317" s="178">
        <f t="shared" ref="E317:E322" si="121">C317/D317</f>
        <v>50.52</v>
      </c>
      <c r="F317" s="112">
        <v>7115</v>
      </c>
      <c r="G317" s="113">
        <v>262</v>
      </c>
      <c r="H317" s="179">
        <f t="shared" ref="H317:H322" si="122">F317/G317</f>
        <v>27.15648854961832</v>
      </c>
      <c r="I317" s="180">
        <f t="shared" ref="I317:I322" si="123">C317+F317</f>
        <v>15956</v>
      </c>
      <c r="J317" s="180">
        <f t="shared" ref="J317:J322" si="124">D317+G317</f>
        <v>437</v>
      </c>
      <c r="K317" s="181">
        <f t="shared" ref="K317:K322" si="125">I317/J317</f>
        <v>36.512585812356981</v>
      </c>
      <c r="L317" s="134"/>
    </row>
    <row r="318" spans="1:12" s="84" customFormat="1" ht="13.2">
      <c r="A318" s="26"/>
      <c r="B318" s="182" t="s">
        <v>10</v>
      </c>
      <c r="C318" s="114">
        <v>4821</v>
      </c>
      <c r="D318" s="115">
        <v>51</v>
      </c>
      <c r="E318" s="183">
        <f t="shared" si="121"/>
        <v>94.529411764705884</v>
      </c>
      <c r="F318" s="114">
        <v>6672</v>
      </c>
      <c r="G318" s="115">
        <v>148</v>
      </c>
      <c r="H318" s="184">
        <f t="shared" si="122"/>
        <v>45.081081081081081</v>
      </c>
      <c r="I318" s="185">
        <f t="shared" si="123"/>
        <v>11493</v>
      </c>
      <c r="J318" s="185">
        <f t="shared" si="124"/>
        <v>199</v>
      </c>
      <c r="K318" s="186">
        <f t="shared" si="125"/>
        <v>57.753768844221106</v>
      </c>
      <c r="L318" s="134"/>
    </row>
    <row r="319" spans="1:12" s="84" customFormat="1" ht="13.2">
      <c r="A319" s="26"/>
      <c r="B319" s="182" t="s">
        <v>11</v>
      </c>
      <c r="C319" s="114">
        <v>4849</v>
      </c>
      <c r="D319" s="115">
        <v>131</v>
      </c>
      <c r="E319" s="183">
        <f t="shared" si="121"/>
        <v>37.015267175572518</v>
      </c>
      <c r="F319" s="114">
        <v>3183</v>
      </c>
      <c r="G319" s="115">
        <v>150</v>
      </c>
      <c r="H319" s="184">
        <f t="shared" si="122"/>
        <v>21.22</v>
      </c>
      <c r="I319" s="185">
        <f t="shared" si="123"/>
        <v>8032</v>
      </c>
      <c r="J319" s="185">
        <f t="shared" si="124"/>
        <v>281</v>
      </c>
      <c r="K319" s="186">
        <f t="shared" si="125"/>
        <v>28.583629893238435</v>
      </c>
      <c r="L319" s="134"/>
    </row>
    <row r="320" spans="1:12" s="84" customFormat="1" ht="13.2">
      <c r="A320" s="26"/>
      <c r="B320" s="182" t="s">
        <v>12</v>
      </c>
      <c r="C320" s="114">
        <v>10456</v>
      </c>
      <c r="D320" s="115">
        <v>229</v>
      </c>
      <c r="E320" s="183">
        <f t="shared" si="121"/>
        <v>45.659388646288207</v>
      </c>
      <c r="F320" s="114">
        <v>11914</v>
      </c>
      <c r="G320" s="115">
        <v>376</v>
      </c>
      <c r="H320" s="184">
        <f t="shared" si="122"/>
        <v>31.686170212765958</v>
      </c>
      <c r="I320" s="185">
        <f t="shared" si="123"/>
        <v>22370</v>
      </c>
      <c r="J320" s="185">
        <f t="shared" si="124"/>
        <v>605</v>
      </c>
      <c r="K320" s="186">
        <f t="shared" si="125"/>
        <v>36.97520661157025</v>
      </c>
      <c r="L320" s="134"/>
    </row>
    <row r="321" spans="1:12" s="84" customFormat="1" ht="13.2">
      <c r="A321" s="26"/>
      <c r="B321" s="182" t="s">
        <v>21</v>
      </c>
      <c r="C321" s="114">
        <v>11280</v>
      </c>
      <c r="D321" s="115">
        <v>225</v>
      </c>
      <c r="E321" s="183">
        <f t="shared" si="121"/>
        <v>50.133333333333333</v>
      </c>
      <c r="F321" s="114">
        <v>6556</v>
      </c>
      <c r="G321" s="115">
        <v>189</v>
      </c>
      <c r="H321" s="184">
        <f t="shared" si="122"/>
        <v>34.68783068783069</v>
      </c>
      <c r="I321" s="185">
        <f t="shared" si="123"/>
        <v>17836</v>
      </c>
      <c r="J321" s="185">
        <f t="shared" si="124"/>
        <v>414</v>
      </c>
      <c r="K321" s="186">
        <f t="shared" si="125"/>
        <v>43.082125603864732</v>
      </c>
      <c r="L321" s="134"/>
    </row>
    <row r="322" spans="1:12" s="84" customFormat="1" ht="13.2">
      <c r="A322" s="26"/>
      <c r="B322" s="182" t="s">
        <v>13</v>
      </c>
      <c r="C322" s="114">
        <v>63537</v>
      </c>
      <c r="D322" s="115">
        <v>1617</v>
      </c>
      <c r="E322" s="183">
        <f t="shared" si="121"/>
        <v>39.293135435992582</v>
      </c>
      <c r="F322" s="114">
        <v>17699</v>
      </c>
      <c r="G322" s="115">
        <v>658</v>
      </c>
      <c r="H322" s="184">
        <f t="shared" si="122"/>
        <v>26.898176291793312</v>
      </c>
      <c r="I322" s="185">
        <f t="shared" si="123"/>
        <v>81236</v>
      </c>
      <c r="J322" s="185">
        <f t="shared" si="124"/>
        <v>2275</v>
      </c>
      <c r="K322" s="186">
        <f t="shared" si="125"/>
        <v>35.708131868131865</v>
      </c>
      <c r="L322" s="134"/>
    </row>
    <row r="323" spans="1:12" s="84" customFormat="1" ht="13.2">
      <c r="A323" s="26"/>
      <c r="B323" s="187"/>
      <c r="C323" s="116"/>
      <c r="D323" s="117"/>
      <c r="E323" s="188"/>
      <c r="F323" s="116"/>
      <c r="G323" s="117"/>
      <c r="H323" s="189"/>
      <c r="I323" s="174"/>
      <c r="J323" s="174"/>
      <c r="K323" s="190"/>
      <c r="L323" s="134"/>
    </row>
    <row r="324" spans="1:12" ht="12.75" customHeight="1">
      <c r="B324" s="140" t="s">
        <v>81</v>
      </c>
      <c r="C324" s="173">
        <f>C326+C329+C330</f>
        <v>115023</v>
      </c>
      <c r="D324" s="173">
        <f>D326+D329+D330</f>
        <v>2685</v>
      </c>
      <c r="E324" s="143">
        <f>C324/D324</f>
        <v>42.839106145251399</v>
      </c>
      <c r="F324" s="173">
        <f>F326+F329+F330</f>
        <v>55930</v>
      </c>
      <c r="G324" s="173">
        <f>G326+G329+G330</f>
        <v>1906</v>
      </c>
      <c r="H324" s="144">
        <f>F324/G324</f>
        <v>29.344176285414481</v>
      </c>
      <c r="I324" s="145">
        <f>C324+F324</f>
        <v>170953</v>
      </c>
      <c r="J324" s="145">
        <f>D324+G324</f>
        <v>4591</v>
      </c>
      <c r="K324" s="146">
        <f>I324/J324</f>
        <v>37.236549771291656</v>
      </c>
    </row>
    <row r="325" spans="1:12" s="84" customFormat="1" ht="13.2">
      <c r="A325" s="26"/>
      <c r="B325" s="218" t="s">
        <v>78</v>
      </c>
      <c r="C325" s="114"/>
      <c r="D325" s="114"/>
      <c r="E325" s="183"/>
      <c r="F325" s="114"/>
      <c r="G325" s="114"/>
      <c r="H325" s="184"/>
      <c r="I325" s="185"/>
      <c r="J325" s="185"/>
      <c r="K325" s="186"/>
      <c r="L325" s="134"/>
    </row>
    <row r="326" spans="1:12" s="84" customFormat="1" ht="13.2">
      <c r="A326" s="26"/>
      <c r="B326" s="140" t="s">
        <v>83</v>
      </c>
      <c r="C326" s="173">
        <f>SUM(C317:C323)</f>
        <v>103784</v>
      </c>
      <c r="D326" s="141">
        <f>SUM(D317:D323)</f>
        <v>2428</v>
      </c>
      <c r="E326" s="143"/>
      <c r="F326" s="141">
        <f>SUM(F317:F322)</f>
        <v>53139</v>
      </c>
      <c r="G326" s="141">
        <f>SUM(G317:G322)</f>
        <v>1783</v>
      </c>
      <c r="H326" s="144"/>
      <c r="I326" s="145">
        <f>C326+F326</f>
        <v>156923</v>
      </c>
      <c r="J326" s="145">
        <f>D326+G326</f>
        <v>4211</v>
      </c>
      <c r="K326" s="146"/>
      <c r="L326" s="134"/>
    </row>
    <row r="327" spans="1:12" s="84" customFormat="1" ht="13.2">
      <c r="A327" s="26"/>
      <c r="B327" s="211" t="s">
        <v>80</v>
      </c>
      <c r="C327" s="116"/>
      <c r="D327" s="116"/>
      <c r="E327" s="234"/>
      <c r="F327" s="116"/>
      <c r="G327" s="116"/>
      <c r="H327" s="234"/>
      <c r="I327" s="174"/>
      <c r="J327" s="174"/>
      <c r="K327" s="175"/>
      <c r="L327" s="134"/>
    </row>
    <row r="328" spans="1:12" s="84" customFormat="1" ht="13.2">
      <c r="A328" s="26"/>
      <c r="B328" s="211"/>
      <c r="C328" s="203"/>
      <c r="D328" s="203"/>
      <c r="E328" s="235"/>
      <c r="F328" s="203"/>
      <c r="G328" s="203"/>
      <c r="H328" s="235"/>
      <c r="I328" s="204"/>
      <c r="J328" s="204"/>
      <c r="K328" s="2"/>
      <c r="L328" s="134"/>
    </row>
    <row r="329" spans="1:12" ht="13.2">
      <c r="A329" s="26"/>
      <c r="B329" s="27" t="s">
        <v>23</v>
      </c>
      <c r="C329" s="112">
        <v>3700</v>
      </c>
      <c r="D329" s="113">
        <v>47</v>
      </c>
      <c r="E329" s="73">
        <f>C329/D329</f>
        <v>78.723404255319153</v>
      </c>
      <c r="F329" s="126">
        <v>0</v>
      </c>
      <c r="G329" s="127">
        <v>0</v>
      </c>
      <c r="H329" s="73"/>
      <c r="I329" s="135">
        <f t="shared" ref="I329:I330" si="126">C329+F329</f>
        <v>3700</v>
      </c>
      <c r="J329" s="135">
        <f t="shared" ref="J329:J330" si="127">D329+G329</f>
        <v>47</v>
      </c>
      <c r="K329" s="73">
        <f>I329/J329</f>
        <v>78.723404255319153</v>
      </c>
    </row>
    <row r="330" spans="1:12" ht="13.2">
      <c r="A330" s="26"/>
      <c r="B330" s="27" t="s">
        <v>24</v>
      </c>
      <c r="C330" s="112">
        <v>7539</v>
      </c>
      <c r="D330" s="113">
        <v>210</v>
      </c>
      <c r="E330" s="73">
        <f>C330/D330</f>
        <v>35.9</v>
      </c>
      <c r="F330" s="119">
        <v>2791</v>
      </c>
      <c r="G330" s="120">
        <v>123</v>
      </c>
      <c r="H330" s="73">
        <f>F330/G330</f>
        <v>22.691056910569106</v>
      </c>
      <c r="I330" s="135">
        <f t="shared" si="126"/>
        <v>10330</v>
      </c>
      <c r="J330" s="135">
        <f t="shared" si="127"/>
        <v>333</v>
      </c>
      <c r="K330" s="73">
        <f>I330/J330</f>
        <v>31.021021021021021</v>
      </c>
    </row>
    <row r="331" spans="1:12" ht="4.5" customHeight="1">
      <c r="A331" s="77"/>
      <c r="C331" s="118"/>
      <c r="D331" s="118"/>
    </row>
    <row r="332" spans="1:12" ht="4.5" customHeight="1">
      <c r="C332" s="118"/>
      <c r="D332" s="118"/>
    </row>
    <row r="333" spans="1:12" ht="13.2">
      <c r="B333" s="85"/>
      <c r="C333" s="85"/>
      <c r="D333" s="85"/>
      <c r="E333" s="85"/>
      <c r="F333" s="85"/>
      <c r="G333" s="85"/>
      <c r="H333" s="85"/>
      <c r="I333" s="85"/>
      <c r="J333" s="85"/>
      <c r="K333" s="85"/>
    </row>
    <row r="334" spans="1:12" ht="13.2" hidden="1"/>
    <row r="335" spans="1:12" ht="13.2">
      <c r="B335" s="22" t="s">
        <v>30</v>
      </c>
      <c r="C335" s="86" t="s">
        <v>2</v>
      </c>
      <c r="D335" s="87" t="s">
        <v>2</v>
      </c>
      <c r="E335" s="39"/>
      <c r="F335" s="86" t="s">
        <v>3</v>
      </c>
      <c r="G335" s="88" t="s">
        <v>3</v>
      </c>
      <c r="H335" s="41"/>
      <c r="I335" s="90" t="s">
        <v>4</v>
      </c>
      <c r="J335" s="90" t="s">
        <v>4</v>
      </c>
      <c r="K335" s="36"/>
    </row>
    <row r="336" spans="1:12" ht="13.2">
      <c r="A336" s="36"/>
      <c r="B336" s="36"/>
      <c r="C336" s="86" t="s">
        <v>5</v>
      </c>
      <c r="D336" s="87" t="s">
        <v>6</v>
      </c>
      <c r="E336" s="28" t="s">
        <v>7</v>
      </c>
      <c r="F336" s="89" t="s">
        <v>5</v>
      </c>
      <c r="G336" s="88" t="s">
        <v>6</v>
      </c>
      <c r="H336" s="29" t="s">
        <v>8</v>
      </c>
      <c r="I336" s="91" t="s">
        <v>5</v>
      </c>
      <c r="J336" s="91" t="s">
        <v>6</v>
      </c>
      <c r="K336" s="24" t="s">
        <v>8</v>
      </c>
    </row>
    <row r="337" spans="1:11" ht="13.2">
      <c r="A337" s="43"/>
      <c r="B337" s="47" t="s">
        <v>9</v>
      </c>
      <c r="C337" s="48">
        <f>8151+6702</f>
        <v>14853</v>
      </c>
      <c r="D337" s="49">
        <f>169+255</f>
        <v>424</v>
      </c>
      <c r="E337" s="50">
        <f t="shared" ref="E337:E342" si="128">C337/D337</f>
        <v>35.030660377358494</v>
      </c>
      <c r="F337" s="48">
        <f>794+251</f>
        <v>1045</v>
      </c>
      <c r="G337" s="49">
        <f>87+26</f>
        <v>113</v>
      </c>
      <c r="H337" s="51">
        <f t="shared" ref="H337:H342" si="129">F337/G337</f>
        <v>9.2477876106194685</v>
      </c>
      <c r="I337" s="52">
        <f t="shared" ref="I337:J342" si="130">C337+F337</f>
        <v>15898</v>
      </c>
      <c r="J337" s="52">
        <f t="shared" si="130"/>
        <v>537</v>
      </c>
      <c r="K337" s="53">
        <f t="shared" ref="K337:K342" si="131">I337/J337</f>
        <v>29.605214152700185</v>
      </c>
    </row>
    <row r="338" spans="1:11" ht="13.2">
      <c r="A338" s="46"/>
      <c r="B338" s="55" t="s">
        <v>10</v>
      </c>
      <c r="C338" s="56">
        <f>4067+6740</f>
        <v>10807</v>
      </c>
      <c r="D338" s="57">
        <f>47+136</f>
        <v>183</v>
      </c>
      <c r="E338" s="58">
        <f t="shared" si="128"/>
        <v>59.05464480874317</v>
      </c>
      <c r="F338" s="56">
        <f>613+91</f>
        <v>704</v>
      </c>
      <c r="G338" s="57">
        <f>24+10</f>
        <v>34</v>
      </c>
      <c r="H338" s="59">
        <f t="shared" si="129"/>
        <v>20.705882352941178</v>
      </c>
      <c r="I338" s="60">
        <f t="shared" si="130"/>
        <v>11511</v>
      </c>
      <c r="J338" s="60">
        <f t="shared" si="130"/>
        <v>217</v>
      </c>
      <c r="K338" s="61">
        <f t="shared" si="131"/>
        <v>53.046082949308754</v>
      </c>
    </row>
    <row r="339" spans="1:11" ht="13.2">
      <c r="A339" s="54"/>
      <c r="B339" s="55" t="s">
        <v>11</v>
      </c>
      <c r="C339" s="56">
        <f>4931+2984</f>
        <v>7915</v>
      </c>
      <c r="D339" s="57">
        <f>130+138</f>
        <v>268</v>
      </c>
      <c r="E339" s="58">
        <f t="shared" si="128"/>
        <v>29.53358208955224</v>
      </c>
      <c r="F339" s="56">
        <f>479+137</f>
        <v>616</v>
      </c>
      <c r="G339" s="57">
        <f>65+9</f>
        <v>74</v>
      </c>
      <c r="H339" s="59">
        <f t="shared" si="129"/>
        <v>8.3243243243243246</v>
      </c>
      <c r="I339" s="60">
        <f t="shared" si="130"/>
        <v>8531</v>
      </c>
      <c r="J339" s="60">
        <f t="shared" si="130"/>
        <v>342</v>
      </c>
      <c r="K339" s="61">
        <f t="shared" si="131"/>
        <v>24.944444444444443</v>
      </c>
    </row>
    <row r="340" spans="1:11" ht="13.2">
      <c r="A340" s="54"/>
      <c r="B340" s="55" t="s">
        <v>12</v>
      </c>
      <c r="C340" s="56">
        <f>9762+11024</f>
        <v>20786</v>
      </c>
      <c r="D340" s="57">
        <f>223+349</f>
        <v>572</v>
      </c>
      <c r="E340" s="58">
        <f t="shared" si="128"/>
        <v>36.33916083916084</v>
      </c>
      <c r="F340" s="56">
        <f>1557+215</f>
        <v>1772</v>
      </c>
      <c r="G340" s="57">
        <f>128+6</f>
        <v>134</v>
      </c>
      <c r="H340" s="59">
        <f t="shared" si="129"/>
        <v>13.223880597014926</v>
      </c>
      <c r="I340" s="60">
        <f t="shared" si="130"/>
        <v>22558</v>
      </c>
      <c r="J340" s="60">
        <f t="shared" si="130"/>
        <v>706</v>
      </c>
      <c r="K340" s="61">
        <f t="shared" si="131"/>
        <v>31.951841359773372</v>
      </c>
    </row>
    <row r="341" spans="1:11" ht="13.2">
      <c r="A341" s="54"/>
      <c r="B341" s="55" t="s">
        <v>21</v>
      </c>
      <c r="C341" s="56">
        <f>10030+5932</f>
        <v>15962</v>
      </c>
      <c r="D341" s="57">
        <f>210+181</f>
        <v>391</v>
      </c>
      <c r="E341" s="58">
        <f t="shared" si="128"/>
        <v>40.823529411764703</v>
      </c>
      <c r="F341" s="56">
        <f>1082+295</f>
        <v>1377</v>
      </c>
      <c r="G341" s="57">
        <f>108+28</f>
        <v>136</v>
      </c>
      <c r="H341" s="59">
        <f t="shared" si="129"/>
        <v>10.125</v>
      </c>
      <c r="I341" s="60">
        <f t="shared" si="130"/>
        <v>17339</v>
      </c>
      <c r="J341" s="60">
        <f t="shared" si="130"/>
        <v>527</v>
      </c>
      <c r="K341" s="61">
        <f t="shared" si="131"/>
        <v>32.901328273244779</v>
      </c>
    </row>
    <row r="342" spans="1:11" ht="13.2">
      <c r="A342" s="54"/>
      <c r="B342" s="55" t="s">
        <v>13</v>
      </c>
      <c r="C342" s="56">
        <f>61733+17313</f>
        <v>79046</v>
      </c>
      <c r="D342" s="57">
        <f>1544+626</f>
        <v>2170</v>
      </c>
      <c r="E342" s="58">
        <f t="shared" si="128"/>
        <v>36.426728110599079</v>
      </c>
      <c r="F342" s="56">
        <f>2106+724</f>
        <v>2830</v>
      </c>
      <c r="G342" s="57">
        <f>172+50</f>
        <v>222</v>
      </c>
      <c r="H342" s="59">
        <f t="shared" si="129"/>
        <v>12.747747747747749</v>
      </c>
      <c r="I342" s="60">
        <f t="shared" si="130"/>
        <v>81876</v>
      </c>
      <c r="J342" s="60">
        <f t="shared" si="130"/>
        <v>2392</v>
      </c>
      <c r="K342" s="61">
        <f t="shared" si="131"/>
        <v>34.229096989966557</v>
      </c>
    </row>
    <row r="343" spans="1:11" ht="13.2">
      <c r="A343" s="54"/>
      <c r="B343" s="63"/>
      <c r="C343" s="64"/>
      <c r="D343" s="65"/>
      <c r="E343" s="66"/>
      <c r="F343" s="64"/>
      <c r="G343" s="65"/>
      <c r="H343" s="67"/>
      <c r="I343" s="68"/>
      <c r="J343" s="68"/>
      <c r="K343" s="69"/>
    </row>
    <row r="344" spans="1:11" ht="26.4">
      <c r="A344" s="62"/>
      <c r="B344" s="27" t="s">
        <v>14</v>
      </c>
      <c r="C344" s="70">
        <f>C354-C349</f>
        <v>163114</v>
      </c>
      <c r="D344" s="70">
        <f>D354-D349</f>
        <v>4360</v>
      </c>
      <c r="E344" s="50">
        <f>C344/D344</f>
        <v>37.411467889908259</v>
      </c>
      <c r="F344" s="92">
        <f>F354-F349</f>
        <v>8902</v>
      </c>
      <c r="G344" s="92">
        <f>G354-G349</f>
        <v>763</v>
      </c>
      <c r="H344" s="51">
        <f>F344/G344</f>
        <v>11.667103538663172</v>
      </c>
      <c r="I344" s="52">
        <f>C344+F344</f>
        <v>172016</v>
      </c>
      <c r="J344" s="52">
        <f>D344+G344</f>
        <v>5123</v>
      </c>
      <c r="K344" s="53">
        <f>I344/J344</f>
        <v>33.577200858871755</v>
      </c>
    </row>
    <row r="345" spans="1:11" ht="13.2">
      <c r="A345" s="26"/>
      <c r="C345" s="20"/>
      <c r="G345" s="72"/>
    </row>
    <row r="349" spans="1:11" ht="13.2">
      <c r="B349" s="27" t="s">
        <v>22</v>
      </c>
      <c r="C349" s="48">
        <v>5776</v>
      </c>
      <c r="D349" s="49">
        <v>115</v>
      </c>
      <c r="E349" s="73">
        <f>C349/D349</f>
        <v>50.22608695652174</v>
      </c>
      <c r="F349" s="48">
        <v>103</v>
      </c>
      <c r="G349" s="49">
        <v>17</v>
      </c>
      <c r="H349" s="73">
        <f>F349/G349</f>
        <v>6.0588235294117645</v>
      </c>
      <c r="I349" s="52">
        <f t="shared" ref="I349:J351" si="132">C349+F349</f>
        <v>5879</v>
      </c>
      <c r="J349" s="52">
        <f t="shared" si="132"/>
        <v>132</v>
      </c>
      <c r="K349" s="74">
        <f>I349/J349</f>
        <v>44.537878787878789</v>
      </c>
    </row>
    <row r="350" spans="1:11" ht="13.2">
      <c r="A350" s="26"/>
      <c r="B350" s="27" t="s">
        <v>23</v>
      </c>
      <c r="C350" s="48">
        <v>3769</v>
      </c>
      <c r="D350" s="49">
        <v>47</v>
      </c>
      <c r="E350" s="73">
        <f>C350/D350</f>
        <v>80.191489361702125</v>
      </c>
      <c r="F350" s="75">
        <v>0</v>
      </c>
      <c r="G350" s="76">
        <v>0</v>
      </c>
      <c r="H350" s="73"/>
      <c r="I350" s="52">
        <f t="shared" si="132"/>
        <v>3769</v>
      </c>
      <c r="J350" s="52">
        <f t="shared" si="132"/>
        <v>47</v>
      </c>
      <c r="K350" s="74">
        <f>I350/J350</f>
        <v>80.191489361702125</v>
      </c>
    </row>
    <row r="351" spans="1:11" ht="13.2">
      <c r="A351" s="26"/>
      <c r="B351" s="27" t="s">
        <v>24</v>
      </c>
      <c r="C351" s="48">
        <f>7268+2708</f>
        <v>9976</v>
      </c>
      <c r="D351" s="49">
        <f>193+112</f>
        <v>305</v>
      </c>
      <c r="E351" s="73">
        <f>C351/D351</f>
        <v>32.708196721311474</v>
      </c>
      <c r="F351" s="48">
        <f>267+291</f>
        <v>558</v>
      </c>
      <c r="G351" s="49">
        <f>32+18</f>
        <v>50</v>
      </c>
      <c r="H351" s="73">
        <f>F351/G351</f>
        <v>11.16</v>
      </c>
      <c r="I351" s="52">
        <f t="shared" si="132"/>
        <v>10534</v>
      </c>
      <c r="J351" s="52">
        <f t="shared" si="132"/>
        <v>355</v>
      </c>
      <c r="K351" s="74">
        <f>I351/J351</f>
        <v>29.673239436619717</v>
      </c>
    </row>
    <row r="352" spans="1:11" ht="13.2">
      <c r="A352" s="26"/>
      <c r="B352" s="27"/>
      <c r="C352" s="48"/>
      <c r="D352" s="49"/>
      <c r="E352" s="73"/>
      <c r="F352" s="48"/>
      <c r="G352" s="49"/>
      <c r="H352" s="73"/>
      <c r="I352" s="52"/>
      <c r="J352" s="52"/>
      <c r="K352" s="74"/>
    </row>
    <row r="353" spans="1:11" ht="13.2">
      <c r="A353" s="26"/>
      <c r="B353" s="27"/>
      <c r="C353" s="48"/>
      <c r="D353" s="49"/>
      <c r="E353" s="73"/>
      <c r="F353" s="48"/>
      <c r="G353" s="49"/>
      <c r="H353" s="73"/>
      <c r="I353" s="52"/>
      <c r="J353" s="52"/>
      <c r="K353" s="74"/>
    </row>
    <row r="354" spans="1:11" s="84" customFormat="1" ht="13.2">
      <c r="A354" s="26"/>
      <c r="B354" s="78" t="s">
        <v>25</v>
      </c>
      <c r="C354" s="79">
        <f>109711+59179</f>
        <v>168890</v>
      </c>
      <c r="D354" s="80">
        <f>2563+1912</f>
        <v>4475</v>
      </c>
      <c r="E354" s="81">
        <f>C354/D354</f>
        <v>37.740782122905031</v>
      </c>
      <c r="F354" s="80">
        <f>6969+2036</f>
        <v>9005</v>
      </c>
      <c r="G354" s="80">
        <f>628+152</f>
        <v>780</v>
      </c>
      <c r="H354" s="81">
        <f>F354/G354</f>
        <v>11.544871794871796</v>
      </c>
      <c r="I354" s="82">
        <f>C354+F354</f>
        <v>177895</v>
      </c>
      <c r="J354" s="82">
        <f>D354+G354</f>
        <v>5255</v>
      </c>
      <c r="K354" s="83">
        <f>I354/J354</f>
        <v>33.852521408182682</v>
      </c>
    </row>
    <row r="355" spans="1:11" ht="4.5" customHeight="1">
      <c r="A355" s="77"/>
    </row>
    <row r="356" spans="1:11" ht="4.5" customHeight="1"/>
    <row r="357" spans="1:11" ht="13.2">
      <c r="B357" s="85"/>
      <c r="C357" s="85"/>
      <c r="D357" s="85"/>
      <c r="E357" s="85"/>
      <c r="F357" s="85"/>
      <c r="G357" s="85"/>
      <c r="H357" s="85"/>
      <c r="I357" s="85"/>
      <c r="J357" s="85"/>
      <c r="K357" s="85"/>
    </row>
    <row r="358" spans="1:11" ht="0.75" customHeight="1"/>
    <row r="359" spans="1:11" ht="0.75" customHeight="1"/>
    <row r="360" spans="1:11" ht="0.75" customHeight="1">
      <c r="B360" s="34"/>
      <c r="C360" s="33"/>
      <c r="D360" s="33"/>
      <c r="E360" s="33"/>
      <c r="F360" s="33"/>
      <c r="G360" s="33"/>
      <c r="H360" s="33"/>
      <c r="I360" s="33"/>
      <c r="J360" s="31"/>
      <c r="K360" s="31"/>
    </row>
    <row r="361" spans="1:11" ht="0.75" customHeight="1">
      <c r="A361" s="34"/>
      <c r="B361" s="34"/>
      <c r="C361" s="33"/>
      <c r="D361" s="33"/>
      <c r="E361" s="33"/>
      <c r="F361" s="33"/>
      <c r="G361" s="33"/>
      <c r="H361" s="33"/>
      <c r="I361" s="33"/>
      <c r="J361" s="31"/>
      <c r="K361" s="31"/>
    </row>
    <row r="362" spans="1:11" ht="13.2">
      <c r="A362" s="34"/>
      <c r="B362" s="22" t="s">
        <v>29</v>
      </c>
      <c r="C362" s="86" t="s">
        <v>2</v>
      </c>
      <c r="D362" s="87" t="s">
        <v>2</v>
      </c>
      <c r="E362" s="39"/>
      <c r="F362" s="86" t="s">
        <v>3</v>
      </c>
      <c r="G362" s="88" t="s">
        <v>3</v>
      </c>
      <c r="H362" s="41"/>
      <c r="I362" s="90" t="s">
        <v>4</v>
      </c>
      <c r="J362" s="90" t="s">
        <v>4</v>
      </c>
      <c r="K362" s="36"/>
    </row>
    <row r="363" spans="1:11" ht="13.2">
      <c r="A363" s="36"/>
      <c r="B363" s="36"/>
      <c r="C363" s="86" t="s">
        <v>5</v>
      </c>
      <c r="D363" s="87" t="s">
        <v>6</v>
      </c>
      <c r="E363" s="28" t="s">
        <v>7</v>
      </c>
      <c r="F363" s="89" t="s">
        <v>5</v>
      </c>
      <c r="G363" s="88" t="s">
        <v>6</v>
      </c>
      <c r="H363" s="29" t="s">
        <v>8</v>
      </c>
      <c r="I363" s="91" t="s">
        <v>5</v>
      </c>
      <c r="J363" s="91" t="s">
        <v>6</v>
      </c>
      <c r="K363" s="24" t="s">
        <v>8</v>
      </c>
    </row>
    <row r="364" spans="1:11" ht="13.2">
      <c r="A364" s="43"/>
      <c r="B364" s="47" t="s">
        <v>9</v>
      </c>
      <c r="C364" s="48">
        <f>7597+6450</f>
        <v>14047</v>
      </c>
      <c r="D364" s="49">
        <f>158+237</f>
        <v>395</v>
      </c>
      <c r="E364" s="50">
        <f t="shared" ref="E364:E369" si="133">C364/D364</f>
        <v>35.562025316455696</v>
      </c>
      <c r="F364" s="48">
        <f>708+292</f>
        <v>1000</v>
      </c>
      <c r="G364" s="49">
        <f>78+29</f>
        <v>107</v>
      </c>
      <c r="H364" s="51">
        <f t="shared" ref="H364:H369" si="134">F364/G364</f>
        <v>9.3457943925233646</v>
      </c>
      <c r="I364" s="52">
        <f t="shared" ref="I364:J369" si="135">C364+F364</f>
        <v>15047</v>
      </c>
      <c r="J364" s="52">
        <f t="shared" si="135"/>
        <v>502</v>
      </c>
      <c r="K364" s="53">
        <f t="shared" ref="K364:K369" si="136">I364/J364</f>
        <v>29.974103585657371</v>
      </c>
    </row>
    <row r="365" spans="1:11" ht="13.2">
      <c r="A365" s="46"/>
      <c r="B365" s="55" t="s">
        <v>10</v>
      </c>
      <c r="C365" s="56">
        <f>3205+6577</f>
        <v>9782</v>
      </c>
      <c r="D365" s="57">
        <f>36+138</f>
        <v>174</v>
      </c>
      <c r="E365" s="58">
        <f t="shared" si="133"/>
        <v>56.218390804597703</v>
      </c>
      <c r="F365" s="56">
        <f>658+80</f>
        <v>738</v>
      </c>
      <c r="G365" s="57">
        <f>28+6</f>
        <v>34</v>
      </c>
      <c r="H365" s="59">
        <f t="shared" si="134"/>
        <v>21.705882352941178</v>
      </c>
      <c r="I365" s="60">
        <f t="shared" si="135"/>
        <v>10520</v>
      </c>
      <c r="J365" s="60">
        <f t="shared" si="135"/>
        <v>208</v>
      </c>
      <c r="K365" s="61">
        <f t="shared" si="136"/>
        <v>50.57692307692308</v>
      </c>
    </row>
    <row r="366" spans="1:11" ht="13.2">
      <c r="A366" s="54"/>
      <c r="B366" s="55" t="s">
        <v>11</v>
      </c>
      <c r="C366" s="56">
        <f>4969+2910</f>
        <v>7879</v>
      </c>
      <c r="D366" s="57">
        <f>128+129</f>
        <v>257</v>
      </c>
      <c r="E366" s="58">
        <f t="shared" si="133"/>
        <v>30.657587548638134</v>
      </c>
      <c r="F366" s="56">
        <f>490+149</f>
        <v>639</v>
      </c>
      <c r="G366" s="57">
        <f>63+7</f>
        <v>70</v>
      </c>
      <c r="H366" s="59">
        <f t="shared" si="134"/>
        <v>9.1285714285714281</v>
      </c>
      <c r="I366" s="60">
        <f t="shared" si="135"/>
        <v>8518</v>
      </c>
      <c r="J366" s="60">
        <f t="shared" si="135"/>
        <v>327</v>
      </c>
      <c r="K366" s="61">
        <f t="shared" si="136"/>
        <v>26.048929663608561</v>
      </c>
    </row>
    <row r="367" spans="1:11" ht="13.2">
      <c r="A367" s="54"/>
      <c r="B367" s="55" t="s">
        <v>12</v>
      </c>
      <c r="C367" s="56">
        <f>8912+10430</f>
        <v>19342</v>
      </c>
      <c r="D367" s="57">
        <f>208+346</f>
        <v>554</v>
      </c>
      <c r="E367" s="58">
        <f t="shared" si="133"/>
        <v>34.91335740072202</v>
      </c>
      <c r="F367" s="56">
        <f>1529+213</f>
        <v>1742</v>
      </c>
      <c r="G367" s="57">
        <f>123+9</f>
        <v>132</v>
      </c>
      <c r="H367" s="59">
        <f t="shared" si="134"/>
        <v>13.196969696969697</v>
      </c>
      <c r="I367" s="60">
        <f t="shared" si="135"/>
        <v>21084</v>
      </c>
      <c r="J367" s="60">
        <f t="shared" si="135"/>
        <v>686</v>
      </c>
      <c r="K367" s="61">
        <f t="shared" si="136"/>
        <v>30.73469387755102</v>
      </c>
    </row>
    <row r="368" spans="1:11" ht="13.2">
      <c r="A368" s="54"/>
      <c r="B368" s="55" t="s">
        <v>21</v>
      </c>
      <c r="C368" s="56">
        <f>9246+5680</f>
        <v>14926</v>
      </c>
      <c r="D368" s="57">
        <f>239+184</f>
        <v>423</v>
      </c>
      <c r="E368" s="58">
        <f t="shared" si="133"/>
        <v>35.286052009456263</v>
      </c>
      <c r="F368" s="56">
        <f>1070+292</f>
        <v>1362</v>
      </c>
      <c r="G368" s="57">
        <f>102+30</f>
        <v>132</v>
      </c>
      <c r="H368" s="59">
        <f t="shared" si="134"/>
        <v>10.318181818181818</v>
      </c>
      <c r="I368" s="60">
        <f t="shared" si="135"/>
        <v>16288</v>
      </c>
      <c r="J368" s="60">
        <f t="shared" si="135"/>
        <v>555</v>
      </c>
      <c r="K368" s="61">
        <f t="shared" si="136"/>
        <v>29.347747747747746</v>
      </c>
    </row>
    <row r="369" spans="1:11" ht="13.2">
      <c r="A369" s="54"/>
      <c r="B369" s="55" t="s">
        <v>13</v>
      </c>
      <c r="C369" s="56">
        <f>60552+16482</f>
        <v>77034</v>
      </c>
      <c r="D369" s="57">
        <f>1537+604</f>
        <v>2141</v>
      </c>
      <c r="E369" s="58">
        <f t="shared" si="133"/>
        <v>35.980382998598785</v>
      </c>
      <c r="F369" s="56">
        <f>2073+723</f>
        <v>2796</v>
      </c>
      <c r="G369" s="57">
        <f>163+52</f>
        <v>215</v>
      </c>
      <c r="H369" s="59">
        <f t="shared" si="134"/>
        <v>13.004651162790697</v>
      </c>
      <c r="I369" s="60">
        <f t="shared" si="135"/>
        <v>79830</v>
      </c>
      <c r="J369" s="60">
        <f t="shared" si="135"/>
        <v>2356</v>
      </c>
      <c r="K369" s="61">
        <f t="shared" si="136"/>
        <v>33.883701188455007</v>
      </c>
    </row>
    <row r="370" spans="1:11" ht="13.2">
      <c r="A370" s="54"/>
      <c r="B370" s="63"/>
      <c r="C370" s="64"/>
      <c r="D370" s="65"/>
      <c r="E370" s="66"/>
      <c r="F370" s="64"/>
      <c r="G370" s="65"/>
      <c r="H370" s="67"/>
      <c r="I370" s="68"/>
      <c r="J370" s="68"/>
      <c r="K370" s="69"/>
    </row>
    <row r="371" spans="1:11" ht="26.4">
      <c r="A371" s="62"/>
      <c r="B371" s="27" t="s">
        <v>14</v>
      </c>
      <c r="C371" s="70">
        <f>C381-C376</f>
        <v>155734</v>
      </c>
      <c r="D371" s="70">
        <f>D381-D376</f>
        <v>4275</v>
      </c>
      <c r="E371" s="50">
        <f>C371/D371</f>
        <v>36.429005847953214</v>
      </c>
      <c r="F371" s="70">
        <f>F381-F376</f>
        <v>8968</v>
      </c>
      <c r="G371" s="70">
        <f>G381-G376</f>
        <v>749</v>
      </c>
      <c r="H371" s="51">
        <f>F371/G371</f>
        <v>11.973297730307076</v>
      </c>
      <c r="I371" s="52">
        <f>C371+F371</f>
        <v>164702</v>
      </c>
      <c r="J371" s="52">
        <f>D371+G371</f>
        <v>5024</v>
      </c>
      <c r="K371" s="53">
        <f>I371/J371</f>
        <v>32.783041401273884</v>
      </c>
    </row>
    <row r="372" spans="1:11" ht="13.2">
      <c r="A372" s="26"/>
      <c r="C372" s="20"/>
      <c r="G372" s="72"/>
    </row>
    <row r="376" spans="1:11" ht="13.2">
      <c r="B376" s="27" t="s">
        <v>22</v>
      </c>
      <c r="C376" s="48">
        <v>5553</v>
      </c>
      <c r="D376" s="49">
        <v>108</v>
      </c>
      <c r="E376" s="73">
        <f>C376/D376</f>
        <v>51.416666666666664</v>
      </c>
      <c r="F376" s="48">
        <f>54+39</f>
        <v>93</v>
      </c>
      <c r="G376" s="49">
        <f>12+7</f>
        <v>19</v>
      </c>
      <c r="H376" s="73">
        <f>F376/G376</f>
        <v>4.8947368421052628</v>
      </c>
      <c r="I376" s="52">
        <f t="shared" ref="I376:J378" si="137">C376+F376</f>
        <v>5646</v>
      </c>
      <c r="J376" s="52">
        <f t="shared" si="137"/>
        <v>127</v>
      </c>
      <c r="K376" s="74">
        <f>I376/J376</f>
        <v>44.45669291338583</v>
      </c>
    </row>
    <row r="377" spans="1:11" ht="13.2">
      <c r="A377" s="26"/>
      <c r="B377" s="27" t="s">
        <v>23</v>
      </c>
      <c r="C377" s="48">
        <v>3730</v>
      </c>
      <c r="D377" s="49">
        <v>47</v>
      </c>
      <c r="E377" s="73">
        <f>C377/D377</f>
        <v>79.361702127659569</v>
      </c>
      <c r="F377" s="75">
        <v>0</v>
      </c>
      <c r="G377" s="76">
        <v>0</v>
      </c>
      <c r="H377" s="73"/>
      <c r="I377" s="52">
        <f t="shared" si="137"/>
        <v>3730</v>
      </c>
      <c r="J377" s="52">
        <f t="shared" si="137"/>
        <v>47</v>
      </c>
      <c r="K377" s="74">
        <f>I377/J377</f>
        <v>79.361702127659569</v>
      </c>
    </row>
    <row r="378" spans="1:11" ht="13.2">
      <c r="A378" s="26"/>
      <c r="B378" s="27" t="s">
        <v>24</v>
      </c>
      <c r="C378" s="48">
        <f>6573+2421</f>
        <v>8994</v>
      </c>
      <c r="D378" s="49">
        <f>180+104</f>
        <v>284</v>
      </c>
      <c r="E378" s="73">
        <f>C378/D378</f>
        <v>31.669014084507044</v>
      </c>
      <c r="F378" s="48">
        <f>445+246</f>
        <v>691</v>
      </c>
      <c r="G378" s="49">
        <f>42+17</f>
        <v>59</v>
      </c>
      <c r="H378" s="73">
        <f>F378/G378</f>
        <v>11.711864406779661</v>
      </c>
      <c r="I378" s="52">
        <f t="shared" si="137"/>
        <v>9685</v>
      </c>
      <c r="J378" s="52">
        <f t="shared" si="137"/>
        <v>343</v>
      </c>
      <c r="K378" s="74">
        <f>I378/J378</f>
        <v>28.236151603498541</v>
      </c>
    </row>
    <row r="379" spans="1:11" ht="13.2">
      <c r="A379" s="26"/>
      <c r="B379" s="27"/>
      <c r="C379" s="48"/>
      <c r="D379" s="49"/>
      <c r="E379" s="73"/>
      <c r="F379" s="48"/>
      <c r="G379" s="49"/>
      <c r="H379" s="73"/>
      <c r="I379" s="52"/>
      <c r="J379" s="52"/>
      <c r="K379" s="74"/>
    </row>
    <row r="380" spans="1:11" ht="13.2">
      <c r="A380" s="26"/>
      <c r="B380" s="27"/>
      <c r="C380" s="48"/>
      <c r="D380" s="49"/>
      <c r="E380" s="73"/>
      <c r="F380" s="48"/>
      <c r="G380" s="49"/>
      <c r="H380" s="73"/>
      <c r="I380" s="52"/>
      <c r="J380" s="52"/>
      <c r="K380" s="74"/>
    </row>
    <row r="381" spans="1:11" s="84" customFormat="1" ht="13.2">
      <c r="A381" s="26"/>
      <c r="B381" s="78" t="s">
        <v>25</v>
      </c>
      <c r="C381" s="79">
        <f>104784+56503</f>
        <v>161287</v>
      </c>
      <c r="D381" s="80">
        <f>2533+1850</f>
        <v>4383</v>
      </c>
      <c r="E381" s="81">
        <f>C381/D381</f>
        <v>36.798311658681271</v>
      </c>
      <c r="F381" s="80">
        <f>7027+2034</f>
        <v>9061</v>
      </c>
      <c r="G381" s="80">
        <f>611+157</f>
        <v>768</v>
      </c>
      <c r="H381" s="81">
        <f>F381/G381</f>
        <v>11.798177083333334</v>
      </c>
      <c r="I381" s="82">
        <f>C381+F381</f>
        <v>170348</v>
      </c>
      <c r="J381" s="82">
        <f>D381+G381</f>
        <v>5151</v>
      </c>
      <c r="K381" s="83">
        <f>I381/J381</f>
        <v>33.070860027179187</v>
      </c>
    </row>
    <row r="382" spans="1:11" ht="4.5" customHeight="1">
      <c r="A382" s="77"/>
    </row>
    <row r="383" spans="1:11" ht="4.5" customHeight="1"/>
    <row r="384" spans="1:11" ht="13.2">
      <c r="B384" s="85"/>
      <c r="C384" s="85"/>
      <c r="D384" s="85"/>
      <c r="E384" s="85"/>
      <c r="F384" s="85"/>
      <c r="G384" s="85"/>
      <c r="H384" s="85"/>
      <c r="I384" s="85"/>
      <c r="J384" s="85"/>
      <c r="K384" s="85"/>
    </row>
    <row r="385" spans="1:11" ht="0.75" customHeight="1">
      <c r="B385" s="35"/>
      <c r="C385" s="35"/>
      <c r="D385" s="35"/>
      <c r="E385" s="35"/>
      <c r="F385" s="35"/>
      <c r="G385" s="35"/>
      <c r="H385" s="35"/>
      <c r="I385" s="35"/>
      <c r="J385" s="35"/>
      <c r="K385" s="35"/>
    </row>
    <row r="386" spans="1:11" ht="0.75" customHeight="1">
      <c r="A386" s="35"/>
      <c r="B386" s="35"/>
      <c r="C386" s="35"/>
      <c r="D386" s="35"/>
      <c r="E386" s="35"/>
      <c r="F386" s="35"/>
      <c r="G386" s="35"/>
      <c r="H386" s="35"/>
      <c r="I386" s="35"/>
      <c r="J386" s="35"/>
      <c r="K386" s="35"/>
    </row>
    <row r="387" spans="1:11" ht="0.75" customHeight="1">
      <c r="A387" s="35"/>
      <c r="B387" s="35"/>
      <c r="C387" s="35"/>
      <c r="D387" s="35"/>
      <c r="E387" s="35"/>
      <c r="F387" s="35"/>
      <c r="G387" s="35"/>
      <c r="H387" s="35"/>
      <c r="I387" s="35"/>
      <c r="J387" s="35"/>
      <c r="K387" s="35"/>
    </row>
    <row r="388" spans="1:11" ht="0.75" customHeight="1">
      <c r="A388" s="35"/>
      <c r="B388" s="35"/>
      <c r="C388" s="35"/>
      <c r="D388" s="35"/>
      <c r="E388" s="35"/>
      <c r="F388" s="35"/>
      <c r="G388" s="35"/>
      <c r="H388" s="35"/>
      <c r="I388" s="35"/>
      <c r="J388" s="35"/>
      <c r="K388" s="35"/>
    </row>
    <row r="389" spans="1:11" ht="0.75" customHeight="1">
      <c r="A389" s="35"/>
      <c r="B389" s="35"/>
      <c r="C389" s="35"/>
      <c r="D389" s="35"/>
      <c r="E389" s="35"/>
      <c r="F389" s="35"/>
      <c r="G389" s="35"/>
      <c r="H389" s="35"/>
      <c r="I389" s="35"/>
      <c r="J389" s="35"/>
      <c r="K389" s="35"/>
    </row>
    <row r="390" spans="1:11" ht="13.2">
      <c r="A390" s="35"/>
      <c r="B390" s="22" t="s">
        <v>28</v>
      </c>
      <c r="C390" s="37" t="s">
        <v>2</v>
      </c>
      <c r="D390" s="38" t="s">
        <v>2</v>
      </c>
      <c r="E390" s="39"/>
      <c r="F390" s="37" t="s">
        <v>3</v>
      </c>
      <c r="G390" s="40" t="s">
        <v>3</v>
      </c>
      <c r="H390" s="41"/>
      <c r="I390" s="42" t="s">
        <v>4</v>
      </c>
      <c r="J390" s="42" t="s">
        <v>4</v>
      </c>
      <c r="K390" s="36"/>
    </row>
    <row r="391" spans="1:11" ht="13.2">
      <c r="A391" s="36"/>
      <c r="B391" s="36"/>
      <c r="C391" s="37" t="s">
        <v>5</v>
      </c>
      <c r="D391" s="38" t="s">
        <v>6</v>
      </c>
      <c r="E391" s="28" t="s">
        <v>7</v>
      </c>
      <c r="F391" s="44" t="s">
        <v>5</v>
      </c>
      <c r="G391" s="40" t="s">
        <v>6</v>
      </c>
      <c r="H391" s="29" t="s">
        <v>8</v>
      </c>
      <c r="I391" s="45" t="s">
        <v>5</v>
      </c>
      <c r="J391" s="45" t="s">
        <v>6</v>
      </c>
      <c r="K391" s="24" t="s">
        <v>8</v>
      </c>
    </row>
    <row r="392" spans="1:11" ht="13.2">
      <c r="A392" s="43"/>
      <c r="B392" s="47" t="s">
        <v>9</v>
      </c>
      <c r="C392" s="48">
        <f>7174+6161</f>
        <v>13335</v>
      </c>
      <c r="D392" s="49">
        <f>160+245</f>
        <v>405</v>
      </c>
      <c r="E392" s="50">
        <f t="shared" ref="E392:E397" si="138">C392/D392</f>
        <v>32.925925925925924</v>
      </c>
      <c r="F392" s="48">
        <f>766+301</f>
        <v>1067</v>
      </c>
      <c r="G392" s="49">
        <f>88+27</f>
        <v>115</v>
      </c>
      <c r="H392" s="51">
        <f t="shared" ref="H392:H397" si="139">F392/G392</f>
        <v>9.2782608695652176</v>
      </c>
      <c r="I392" s="52">
        <f t="shared" ref="I392:J397" si="140">C392+F392</f>
        <v>14402</v>
      </c>
      <c r="J392" s="52">
        <f t="shared" si="140"/>
        <v>520</v>
      </c>
      <c r="K392" s="53">
        <f t="shared" ref="K392:K397" si="141">I392/J392</f>
        <v>27.696153846153845</v>
      </c>
    </row>
    <row r="393" spans="1:11" ht="13.2">
      <c r="A393" s="46"/>
      <c r="B393" s="55" t="s">
        <v>10</v>
      </c>
      <c r="C393" s="56">
        <f>3048+7081</f>
        <v>10129</v>
      </c>
      <c r="D393" s="57">
        <f>29+130</f>
        <v>159</v>
      </c>
      <c r="E393" s="58">
        <f t="shared" si="138"/>
        <v>63.704402515723274</v>
      </c>
      <c r="F393" s="56">
        <f>892+65</f>
        <v>957</v>
      </c>
      <c r="G393" s="57">
        <f>37+5</f>
        <v>42</v>
      </c>
      <c r="H393" s="59">
        <f t="shared" si="139"/>
        <v>22.785714285714285</v>
      </c>
      <c r="I393" s="60">
        <f t="shared" si="140"/>
        <v>11086</v>
      </c>
      <c r="J393" s="60">
        <f t="shared" si="140"/>
        <v>201</v>
      </c>
      <c r="K393" s="61">
        <f t="shared" si="141"/>
        <v>55.154228855721392</v>
      </c>
    </row>
    <row r="394" spans="1:11" ht="13.2">
      <c r="A394" s="54"/>
      <c r="B394" s="55" t="s">
        <v>11</v>
      </c>
      <c r="C394" s="56">
        <f>4837+2736</f>
        <v>7573</v>
      </c>
      <c r="D394" s="57">
        <f>122+122</f>
        <v>244</v>
      </c>
      <c r="E394" s="58">
        <f t="shared" si="138"/>
        <v>31.03688524590164</v>
      </c>
      <c r="F394" s="56">
        <f>458+116</f>
        <v>574</v>
      </c>
      <c r="G394" s="57">
        <f>58+8</f>
        <v>66</v>
      </c>
      <c r="H394" s="59">
        <f t="shared" si="139"/>
        <v>8.6969696969696972</v>
      </c>
      <c r="I394" s="60">
        <f t="shared" si="140"/>
        <v>8147</v>
      </c>
      <c r="J394" s="60">
        <f t="shared" si="140"/>
        <v>310</v>
      </c>
      <c r="K394" s="61">
        <f t="shared" si="141"/>
        <v>26.280645161290323</v>
      </c>
    </row>
    <row r="395" spans="1:11" ht="13.2">
      <c r="A395" s="54"/>
      <c r="B395" s="55" t="s">
        <v>12</v>
      </c>
      <c r="C395" s="56">
        <f>7890+10084</f>
        <v>17974</v>
      </c>
      <c r="D395" s="57">
        <f>202+338</f>
        <v>540</v>
      </c>
      <c r="E395" s="58">
        <f t="shared" si="138"/>
        <v>33.285185185185185</v>
      </c>
      <c r="F395" s="56">
        <f>1518+181</f>
        <v>1699</v>
      </c>
      <c r="G395" s="57">
        <f>124+8</f>
        <v>132</v>
      </c>
      <c r="H395" s="59">
        <f t="shared" si="139"/>
        <v>12.871212121212121</v>
      </c>
      <c r="I395" s="60">
        <f t="shared" si="140"/>
        <v>19673</v>
      </c>
      <c r="J395" s="60">
        <f t="shared" si="140"/>
        <v>672</v>
      </c>
      <c r="K395" s="61">
        <f t="shared" si="141"/>
        <v>29.27529761904762</v>
      </c>
    </row>
    <row r="396" spans="1:11" ht="13.2">
      <c r="A396" s="54"/>
      <c r="B396" s="55" t="s">
        <v>21</v>
      </c>
      <c r="C396" s="56">
        <f>8927+5264</f>
        <v>14191</v>
      </c>
      <c r="D396" s="57">
        <f>242+190</f>
        <v>432</v>
      </c>
      <c r="E396" s="58">
        <f t="shared" si="138"/>
        <v>32.849537037037038</v>
      </c>
      <c r="F396" s="56">
        <f>1110+295</f>
        <v>1405</v>
      </c>
      <c r="G396" s="57">
        <f>107+29</f>
        <v>136</v>
      </c>
      <c r="H396" s="59">
        <f t="shared" si="139"/>
        <v>10.330882352941176</v>
      </c>
      <c r="I396" s="60">
        <f t="shared" si="140"/>
        <v>15596</v>
      </c>
      <c r="J396" s="60">
        <f t="shared" si="140"/>
        <v>568</v>
      </c>
      <c r="K396" s="61">
        <f t="shared" si="141"/>
        <v>27.45774647887324</v>
      </c>
    </row>
    <row r="397" spans="1:11" ht="13.2">
      <c r="A397" s="54"/>
      <c r="B397" s="55" t="s">
        <v>13</v>
      </c>
      <c r="C397" s="56">
        <f>59477+15166</f>
        <v>74643</v>
      </c>
      <c r="D397" s="57">
        <f>1445+577</f>
        <v>2022</v>
      </c>
      <c r="E397" s="58">
        <f t="shared" si="138"/>
        <v>36.915430267062312</v>
      </c>
      <c r="F397" s="56">
        <f>2069+649</f>
        <v>2718</v>
      </c>
      <c r="G397" s="57">
        <f>159+53</f>
        <v>212</v>
      </c>
      <c r="H397" s="59">
        <f t="shared" si="139"/>
        <v>12.820754716981131</v>
      </c>
      <c r="I397" s="60">
        <f t="shared" si="140"/>
        <v>77361</v>
      </c>
      <c r="J397" s="60">
        <f t="shared" si="140"/>
        <v>2234</v>
      </c>
      <c r="K397" s="61">
        <f t="shared" si="141"/>
        <v>34.628916741271262</v>
      </c>
    </row>
    <row r="398" spans="1:11" ht="13.2">
      <c r="A398" s="54"/>
      <c r="B398" s="63"/>
      <c r="C398" s="64"/>
      <c r="D398" s="65"/>
      <c r="E398" s="66"/>
      <c r="F398" s="64"/>
      <c r="G398" s="65"/>
      <c r="H398" s="67"/>
      <c r="I398" s="68"/>
      <c r="J398" s="68"/>
      <c r="K398" s="69"/>
    </row>
    <row r="399" spans="1:11" ht="26.4">
      <c r="A399" s="62"/>
      <c r="B399" s="27" t="s">
        <v>14</v>
      </c>
      <c r="C399" s="70">
        <f>(101396+54256)-C404</f>
        <v>150140</v>
      </c>
      <c r="D399" s="71">
        <f>(2427+1813)-D404</f>
        <v>4132</v>
      </c>
      <c r="E399" s="50">
        <f>C399/D399</f>
        <v>36.335914811229429</v>
      </c>
      <c r="F399" s="70">
        <f>(7258+1903)-F404</f>
        <v>9057</v>
      </c>
      <c r="G399" s="71">
        <f>(622+156)-G404</f>
        <v>756</v>
      </c>
      <c r="H399" s="51">
        <f>F399/G399</f>
        <v>11.980158730158729</v>
      </c>
      <c r="I399" s="52">
        <f>C399+F399</f>
        <v>159197</v>
      </c>
      <c r="J399" s="52">
        <f>D399+G399</f>
        <v>4888</v>
      </c>
      <c r="K399" s="53">
        <f>I399/J399</f>
        <v>32.568944353518823</v>
      </c>
    </row>
    <row r="400" spans="1:11" ht="13.2">
      <c r="A400" s="26"/>
      <c r="C400" s="20"/>
      <c r="G400" s="72"/>
    </row>
    <row r="401" spans="1:11" ht="6" customHeight="1"/>
    <row r="402" spans="1:11" ht="6" customHeight="1"/>
    <row r="403" spans="1:11" ht="6" customHeight="1"/>
    <row r="404" spans="1:11" ht="13.2">
      <c r="B404" s="27" t="s">
        <v>22</v>
      </c>
      <c r="C404" s="48">
        <v>5512</v>
      </c>
      <c r="D404" s="49">
        <v>108</v>
      </c>
      <c r="E404" s="73">
        <f>C404/D404</f>
        <v>51.037037037037038</v>
      </c>
      <c r="F404" s="48">
        <v>104</v>
      </c>
      <c r="G404" s="49">
        <v>22</v>
      </c>
      <c r="H404" s="73">
        <f>F404/G404</f>
        <v>4.7272727272727275</v>
      </c>
      <c r="I404" s="52">
        <f t="shared" ref="I404:J406" si="142">C404+F404</f>
        <v>5616</v>
      </c>
      <c r="J404" s="52">
        <f t="shared" si="142"/>
        <v>130</v>
      </c>
      <c r="K404" s="74">
        <f>I404/J404</f>
        <v>43.2</v>
      </c>
    </row>
    <row r="405" spans="1:11" ht="13.2">
      <c r="A405" s="26"/>
      <c r="B405" s="27" t="s">
        <v>23</v>
      </c>
      <c r="C405" s="48">
        <v>3583</v>
      </c>
      <c r="D405" s="49">
        <v>46</v>
      </c>
      <c r="E405" s="73">
        <f>C405/D405</f>
        <v>77.891304347826093</v>
      </c>
      <c r="F405" s="75"/>
      <c r="G405" s="76"/>
      <c r="H405" s="73"/>
      <c r="I405" s="52">
        <f t="shared" si="142"/>
        <v>3583</v>
      </c>
      <c r="J405" s="52">
        <f t="shared" si="142"/>
        <v>46</v>
      </c>
      <c r="K405" s="74">
        <f>I405/J405</f>
        <v>77.891304347826093</v>
      </c>
    </row>
    <row r="406" spans="1:11" ht="13.2">
      <c r="A406" s="26"/>
      <c r="B406" s="27" t="s">
        <v>24</v>
      </c>
      <c r="C406" s="48">
        <f>6460+2252</f>
        <v>8712</v>
      </c>
      <c r="D406" s="49">
        <f>181+103</f>
        <v>284</v>
      </c>
      <c r="E406" s="73">
        <f>C406/D406</f>
        <v>30.676056338028168</v>
      </c>
      <c r="F406" s="48">
        <f>375+262</f>
        <v>637</v>
      </c>
      <c r="G406" s="49">
        <f>37+16</f>
        <v>53</v>
      </c>
      <c r="H406" s="73">
        <f>F406/G406</f>
        <v>12.018867924528301</v>
      </c>
      <c r="I406" s="52">
        <f t="shared" si="142"/>
        <v>9349</v>
      </c>
      <c r="J406" s="52">
        <f t="shared" si="142"/>
        <v>337</v>
      </c>
      <c r="K406" s="74">
        <f>I406/J406</f>
        <v>27.741839762611274</v>
      </c>
    </row>
    <row r="407" spans="1:11" ht="13.2">
      <c r="A407" s="26"/>
      <c r="B407" s="27"/>
      <c r="C407" s="48"/>
      <c r="D407" s="49"/>
      <c r="E407" s="73"/>
      <c r="F407" s="48"/>
      <c r="G407" s="49"/>
      <c r="H407" s="73"/>
      <c r="I407" s="52"/>
      <c r="J407" s="52"/>
      <c r="K407" s="74"/>
    </row>
    <row r="408" spans="1:11" ht="13.2">
      <c r="A408" s="26"/>
      <c r="B408" s="27"/>
      <c r="C408" s="48"/>
      <c r="D408" s="49"/>
      <c r="E408" s="73"/>
      <c r="F408" s="48"/>
      <c r="G408" s="49"/>
      <c r="H408" s="73"/>
      <c r="I408" s="52"/>
      <c r="J408" s="52"/>
      <c r="K408" s="74"/>
    </row>
    <row r="409" spans="1:11" s="84" customFormat="1" ht="13.2">
      <c r="A409" s="26"/>
      <c r="B409" s="78" t="s">
        <v>25</v>
      </c>
      <c r="C409" s="79">
        <f>C392+C393+C394+C395+C396+C397+C404+C405+C406</f>
        <v>155652</v>
      </c>
      <c r="D409" s="80">
        <f>D392+D393+D394+D395+D396+D397+D404+D405+D406</f>
        <v>4240</v>
      </c>
      <c r="E409" s="81">
        <f>C409/D409</f>
        <v>36.710377358490568</v>
      </c>
      <c r="F409" s="80">
        <f>F392+F393+F394+F395+F396+F397+F404+F406</f>
        <v>9161</v>
      </c>
      <c r="G409" s="80">
        <f>G392+G393+G394+G395+G396+G397+G404+G405+G406</f>
        <v>778</v>
      </c>
      <c r="H409" s="81">
        <f>F409/G409</f>
        <v>11.775064267352185</v>
      </c>
      <c r="I409" s="82">
        <f>C409+F409</f>
        <v>164813</v>
      </c>
      <c r="J409" s="82">
        <f>D409+G409</f>
        <v>5018</v>
      </c>
      <c r="K409" s="83">
        <f>I409/J409</f>
        <v>32.844360302909529</v>
      </c>
    </row>
    <row r="410" spans="1:11" ht="4.5" customHeight="1">
      <c r="A410" s="77"/>
    </row>
    <row r="411" spans="1:11" ht="4.5" customHeight="1"/>
    <row r="412" spans="1:11" ht="13.2">
      <c r="B412" s="85"/>
      <c r="C412" s="85"/>
      <c r="D412" s="85"/>
      <c r="E412" s="85"/>
      <c r="F412" s="85"/>
      <c r="G412" s="85"/>
      <c r="H412" s="85"/>
      <c r="I412" s="85"/>
      <c r="J412" s="85"/>
      <c r="K412" s="85"/>
    </row>
    <row r="413" spans="1:11" ht="5.25" customHeight="1"/>
    <row r="414" spans="1:11" ht="5.25" customHeight="1"/>
    <row r="415" spans="1:11" ht="13.2">
      <c r="B415" s="22" t="s">
        <v>27</v>
      </c>
      <c r="C415" s="37" t="s">
        <v>2</v>
      </c>
      <c r="D415" s="38" t="s">
        <v>2</v>
      </c>
      <c r="E415" s="39"/>
      <c r="F415" s="37" t="s">
        <v>3</v>
      </c>
      <c r="G415" s="40" t="s">
        <v>3</v>
      </c>
      <c r="H415" s="41"/>
      <c r="I415" s="42" t="s">
        <v>4</v>
      </c>
      <c r="J415" s="42" t="s">
        <v>4</v>
      </c>
      <c r="K415" s="36"/>
    </row>
    <row r="416" spans="1:11" ht="13.2">
      <c r="B416" s="36"/>
      <c r="C416" s="37" t="s">
        <v>5</v>
      </c>
      <c r="D416" s="38" t="s">
        <v>6</v>
      </c>
      <c r="E416" s="28" t="s">
        <v>7</v>
      </c>
      <c r="F416" s="44" t="s">
        <v>5</v>
      </c>
      <c r="G416" s="40" t="s">
        <v>6</v>
      </c>
      <c r="H416" s="29" t="s">
        <v>8</v>
      </c>
      <c r="I416" s="45" t="s">
        <v>5</v>
      </c>
      <c r="J416" s="45" t="s">
        <v>6</v>
      </c>
      <c r="K416" s="24" t="s">
        <v>8</v>
      </c>
    </row>
    <row r="417" spans="1:11" ht="13.2">
      <c r="B417" s="47" t="s">
        <v>9</v>
      </c>
      <c r="C417" s="48">
        <f>6643+5675</f>
        <v>12318</v>
      </c>
      <c r="D417" s="49">
        <f>151+236</f>
        <v>387</v>
      </c>
      <c r="E417" s="50">
        <f t="shared" ref="E417:E422" si="143">C417/D417</f>
        <v>31.829457364341085</v>
      </c>
      <c r="F417" s="48">
        <f>678+227</f>
        <v>905</v>
      </c>
      <c r="G417" s="49">
        <f>82+26</f>
        <v>108</v>
      </c>
      <c r="H417" s="51">
        <f t="shared" ref="H417:H422" si="144">F417/G417</f>
        <v>8.3796296296296298</v>
      </c>
      <c r="I417" s="52">
        <f t="shared" ref="I417:J422" si="145">C417+F417</f>
        <v>13223</v>
      </c>
      <c r="J417" s="52">
        <f t="shared" si="145"/>
        <v>495</v>
      </c>
      <c r="K417" s="53">
        <f t="shared" ref="K417:K422" si="146">I417/J417</f>
        <v>26.713131313131314</v>
      </c>
    </row>
    <row r="418" spans="1:11" ht="13.2">
      <c r="B418" s="55" t="s">
        <v>10</v>
      </c>
      <c r="C418" s="56">
        <f>2780+6726</f>
        <v>9506</v>
      </c>
      <c r="D418" s="57">
        <f>25+113</f>
        <v>138</v>
      </c>
      <c r="E418" s="58">
        <f t="shared" si="143"/>
        <v>68.884057971014499</v>
      </c>
      <c r="F418" s="56">
        <f>833+29</f>
        <v>862</v>
      </c>
      <c r="G418" s="57">
        <f>35+2</f>
        <v>37</v>
      </c>
      <c r="H418" s="59">
        <f t="shared" si="144"/>
        <v>23.297297297297298</v>
      </c>
      <c r="I418" s="60">
        <f t="shared" si="145"/>
        <v>10368</v>
      </c>
      <c r="J418" s="60">
        <f t="shared" si="145"/>
        <v>175</v>
      </c>
      <c r="K418" s="61">
        <f t="shared" si="146"/>
        <v>59.245714285714286</v>
      </c>
    </row>
    <row r="419" spans="1:11" ht="13.2">
      <c r="B419" s="55" t="s">
        <v>11</v>
      </c>
      <c r="C419" s="56">
        <f>4733+2549</f>
        <v>7282</v>
      </c>
      <c r="D419" s="57">
        <f>130+136</f>
        <v>266</v>
      </c>
      <c r="E419" s="58">
        <f t="shared" si="143"/>
        <v>27.375939849624061</v>
      </c>
      <c r="F419" s="56">
        <f>447+90</f>
        <v>537</v>
      </c>
      <c r="G419" s="57">
        <f>58+8</f>
        <v>66</v>
      </c>
      <c r="H419" s="59">
        <f t="shared" si="144"/>
        <v>8.1363636363636367</v>
      </c>
      <c r="I419" s="60">
        <f t="shared" si="145"/>
        <v>7819</v>
      </c>
      <c r="J419" s="60">
        <f t="shared" si="145"/>
        <v>332</v>
      </c>
      <c r="K419" s="61">
        <f t="shared" si="146"/>
        <v>23.551204819277107</v>
      </c>
    </row>
    <row r="420" spans="1:11" ht="13.2">
      <c r="B420" s="55" t="s">
        <v>12</v>
      </c>
      <c r="C420" s="56">
        <f>7418+9196</f>
        <v>16614</v>
      </c>
      <c r="D420" s="57">
        <f>183+356</f>
        <v>539</v>
      </c>
      <c r="E420" s="58">
        <f t="shared" si="143"/>
        <v>30.823747680890538</v>
      </c>
      <c r="F420" s="56">
        <f>1279+114</f>
        <v>1393</v>
      </c>
      <c r="G420" s="57">
        <f>110+8</f>
        <v>118</v>
      </c>
      <c r="H420" s="59">
        <f t="shared" si="144"/>
        <v>11.805084745762711</v>
      </c>
      <c r="I420" s="60">
        <f t="shared" si="145"/>
        <v>18007</v>
      </c>
      <c r="J420" s="60">
        <f t="shared" si="145"/>
        <v>657</v>
      </c>
      <c r="K420" s="61">
        <f t="shared" si="146"/>
        <v>27.407914764079148</v>
      </c>
    </row>
    <row r="421" spans="1:11" ht="13.2">
      <c r="B421" s="55" t="s">
        <v>21</v>
      </c>
      <c r="C421" s="56">
        <f>8229+5073</f>
        <v>13302</v>
      </c>
      <c r="D421" s="57">
        <f>215+179</f>
        <v>394</v>
      </c>
      <c r="E421" s="58">
        <f t="shared" si="143"/>
        <v>33.761421319796952</v>
      </c>
      <c r="F421" s="56">
        <f>923+240</f>
        <v>1163</v>
      </c>
      <c r="G421" s="57">
        <f>93+31</f>
        <v>124</v>
      </c>
      <c r="H421" s="59">
        <f t="shared" si="144"/>
        <v>9.379032258064516</v>
      </c>
      <c r="I421" s="60">
        <f t="shared" si="145"/>
        <v>14465</v>
      </c>
      <c r="J421" s="60">
        <f t="shared" si="145"/>
        <v>518</v>
      </c>
      <c r="K421" s="61">
        <f t="shared" si="146"/>
        <v>27.924710424710426</v>
      </c>
    </row>
    <row r="422" spans="1:11" ht="13.2">
      <c r="B422" s="55" t="s">
        <v>13</v>
      </c>
      <c r="C422" s="56">
        <f>58368+14897</f>
        <v>73265</v>
      </c>
      <c r="D422" s="57">
        <f>1444+607</f>
        <v>2051</v>
      </c>
      <c r="E422" s="58">
        <f t="shared" si="143"/>
        <v>35.721599219892738</v>
      </c>
      <c r="F422" s="56">
        <f>2184+681</f>
        <v>2865</v>
      </c>
      <c r="G422" s="57">
        <f>180+57</f>
        <v>237</v>
      </c>
      <c r="H422" s="59">
        <f t="shared" si="144"/>
        <v>12.088607594936709</v>
      </c>
      <c r="I422" s="60">
        <f t="shared" si="145"/>
        <v>76130</v>
      </c>
      <c r="J422" s="60">
        <f t="shared" si="145"/>
        <v>2288</v>
      </c>
      <c r="K422" s="61">
        <f t="shared" si="146"/>
        <v>33.2736013986014</v>
      </c>
    </row>
    <row r="423" spans="1:11" ht="13.2">
      <c r="B423" s="63"/>
      <c r="C423" s="64"/>
      <c r="D423" s="65"/>
      <c r="E423" s="66"/>
      <c r="F423" s="64"/>
      <c r="G423" s="65"/>
      <c r="H423" s="67"/>
      <c r="I423" s="68"/>
      <c r="J423" s="68"/>
      <c r="K423" s="69"/>
    </row>
    <row r="424" spans="1:11" s="139" customFormat="1" ht="26.4">
      <c r="A424"/>
      <c r="B424" s="140" t="s">
        <v>14</v>
      </c>
      <c r="C424" s="141">
        <f>(98034+51422)-C429</f>
        <v>144415</v>
      </c>
      <c r="D424" s="142">
        <f>(2377+1857)-D429</f>
        <v>4118</v>
      </c>
      <c r="E424" s="143">
        <f>C424/D424</f>
        <v>35.069208353569692</v>
      </c>
      <c r="F424" s="141">
        <f>(6736+1693)-F429</f>
        <v>8320</v>
      </c>
      <c r="G424" s="142">
        <f>(614+152)-G429</f>
        <v>747</v>
      </c>
      <c r="H424" s="144">
        <f>F424/G424</f>
        <v>11.137884872824632</v>
      </c>
      <c r="I424" s="145">
        <f>C424+F424</f>
        <v>152735</v>
      </c>
      <c r="J424" s="145">
        <f>D424+G424</f>
        <v>4865</v>
      </c>
      <c r="K424" s="146">
        <f>I424/J424</f>
        <v>31.394655704008223</v>
      </c>
    </row>
    <row r="425" spans="1:11" ht="7.5" customHeight="1">
      <c r="A425" s="139"/>
      <c r="C425" s="20"/>
      <c r="G425" s="72"/>
    </row>
    <row r="426" spans="1:11" ht="6" customHeight="1"/>
    <row r="427" spans="1:11" ht="6" customHeight="1"/>
    <row r="428" spans="1:11" ht="9" customHeight="1"/>
    <row r="429" spans="1:11" ht="13.2">
      <c r="B429" s="27" t="s">
        <v>22</v>
      </c>
      <c r="C429" s="48">
        <f>5041</f>
        <v>5041</v>
      </c>
      <c r="D429" s="49">
        <v>116</v>
      </c>
      <c r="E429" s="73">
        <f>C429/D429</f>
        <v>43.456896551724135</v>
      </c>
      <c r="F429" s="48">
        <f>65+44</f>
        <v>109</v>
      </c>
      <c r="G429" s="49">
        <f>12+7</f>
        <v>19</v>
      </c>
      <c r="H429" s="73">
        <f>F429/G429</f>
        <v>5.7368421052631575</v>
      </c>
      <c r="I429" s="52">
        <f t="shared" ref="I429:J431" si="147">C429+F429</f>
        <v>5150</v>
      </c>
      <c r="J429" s="52">
        <f t="shared" si="147"/>
        <v>135</v>
      </c>
      <c r="K429" s="74">
        <f>I429/J429</f>
        <v>38.148148148148145</v>
      </c>
    </row>
    <row r="430" spans="1:11" ht="13.2">
      <c r="B430" s="27" t="s">
        <v>23</v>
      </c>
      <c r="C430" s="48">
        <v>3625</v>
      </c>
      <c r="D430" s="49">
        <v>46</v>
      </c>
      <c r="E430" s="73">
        <f>C430/D430</f>
        <v>78.804347826086953</v>
      </c>
      <c r="F430" s="75"/>
      <c r="G430" s="76"/>
      <c r="H430" s="73"/>
      <c r="I430" s="52">
        <f t="shared" si="147"/>
        <v>3625</v>
      </c>
      <c r="J430" s="52">
        <f t="shared" si="147"/>
        <v>46</v>
      </c>
      <c r="K430" s="74">
        <f>I430/J430</f>
        <v>78.804347826086953</v>
      </c>
    </row>
    <row r="431" spans="1:11" ht="13.2">
      <c r="B431" s="27" t="s">
        <v>24</v>
      </c>
      <c r="C431" s="48">
        <f>6238+2265</f>
        <v>8503</v>
      </c>
      <c r="D431" s="49">
        <f>183+114</f>
        <v>297</v>
      </c>
      <c r="E431" s="73">
        <f>C431/D431</f>
        <v>28.62962962962963</v>
      </c>
      <c r="F431" s="48">
        <f>327+268</f>
        <v>595</v>
      </c>
      <c r="G431" s="49">
        <f>44+13</f>
        <v>57</v>
      </c>
      <c r="H431" s="73">
        <f>F431/G431</f>
        <v>10.43859649122807</v>
      </c>
      <c r="I431" s="52">
        <f t="shared" si="147"/>
        <v>9098</v>
      </c>
      <c r="J431" s="52">
        <f t="shared" si="147"/>
        <v>354</v>
      </c>
      <c r="K431" s="74">
        <f>I431/J431</f>
        <v>25.700564971751412</v>
      </c>
    </row>
    <row r="432" spans="1:11" ht="13.2">
      <c r="B432" s="27"/>
      <c r="C432" s="48"/>
      <c r="D432" s="49"/>
      <c r="E432" s="73"/>
      <c r="F432" s="48"/>
      <c r="G432" s="49"/>
      <c r="H432" s="73"/>
      <c r="I432" s="52"/>
      <c r="J432" s="52"/>
      <c r="K432" s="74"/>
    </row>
    <row r="433" spans="2:11" ht="13.2">
      <c r="B433" s="27"/>
      <c r="C433" s="48"/>
      <c r="D433" s="49"/>
      <c r="E433" s="73"/>
      <c r="F433" s="48"/>
      <c r="G433" s="49"/>
      <c r="H433" s="73"/>
      <c r="I433" s="52"/>
      <c r="J433" s="52"/>
      <c r="K433" s="74"/>
    </row>
    <row r="434" spans="2:11" ht="13.2">
      <c r="B434" s="78" t="s">
        <v>25</v>
      </c>
      <c r="C434" s="79">
        <f>C417+C418+C419+C420+C421+C422+C429+C430+C431</f>
        <v>149456</v>
      </c>
      <c r="D434" s="80">
        <f>D417+D418+D419+D420+D421+D422+D429+D430+D431</f>
        <v>4234</v>
      </c>
      <c r="E434" s="81">
        <f>C434/D434</f>
        <v>35.299008030231462</v>
      </c>
      <c r="F434" s="79">
        <f>F417+F418+F419+F420+F421+F422+F429+F430+F431</f>
        <v>8429</v>
      </c>
      <c r="G434" s="80">
        <f>G417+G418+G419+G420+G421+G422+G429+G430+G431</f>
        <v>766</v>
      </c>
      <c r="H434" s="81">
        <f>F434/G434</f>
        <v>11.003916449086162</v>
      </c>
      <c r="I434" s="82">
        <f>C434+F434</f>
        <v>157885</v>
      </c>
      <c r="J434" s="82">
        <f>D434+G434</f>
        <v>5000</v>
      </c>
      <c r="K434" s="83">
        <f>I434/J434</f>
        <v>31.577000000000002</v>
      </c>
    </row>
    <row r="435" spans="2:11" ht="4.5" customHeight="1"/>
    <row r="436" spans="2:11" ht="4.5" customHeight="1"/>
    <row r="437" spans="2:11" ht="13.2">
      <c r="B437" s="85"/>
      <c r="C437" s="85"/>
      <c r="D437" s="85"/>
      <c r="E437" s="85"/>
      <c r="F437" s="85"/>
      <c r="G437" s="85"/>
      <c r="H437" s="85"/>
      <c r="I437" s="85"/>
      <c r="J437" s="85"/>
      <c r="K437" s="85"/>
    </row>
    <row r="439" spans="2:11" ht="13.2">
      <c r="B439" s="22" t="s">
        <v>26</v>
      </c>
      <c r="C439" s="37" t="s">
        <v>2</v>
      </c>
      <c r="D439" s="38" t="s">
        <v>2</v>
      </c>
      <c r="E439" s="39"/>
      <c r="F439" s="37" t="s">
        <v>3</v>
      </c>
      <c r="G439" s="40" t="s">
        <v>3</v>
      </c>
      <c r="H439" s="41"/>
      <c r="I439" s="42" t="s">
        <v>4</v>
      </c>
      <c r="J439" s="42" t="s">
        <v>4</v>
      </c>
      <c r="K439" s="36"/>
    </row>
    <row r="440" spans="2:11" ht="13.2">
      <c r="B440" s="36"/>
      <c r="C440" s="37" t="s">
        <v>5</v>
      </c>
      <c r="D440" s="38" t="s">
        <v>6</v>
      </c>
      <c r="E440" s="28" t="s">
        <v>7</v>
      </c>
      <c r="F440" s="44" t="s">
        <v>5</v>
      </c>
      <c r="G440" s="40" t="s">
        <v>6</v>
      </c>
      <c r="H440" s="29" t="s">
        <v>8</v>
      </c>
      <c r="I440" s="45" t="s">
        <v>5</v>
      </c>
      <c r="J440" s="45" t="s">
        <v>6</v>
      </c>
      <c r="K440" s="24" t="s">
        <v>8</v>
      </c>
    </row>
    <row r="441" spans="2:11" ht="13.2">
      <c r="B441" s="47" t="s">
        <v>9</v>
      </c>
      <c r="C441" s="48">
        <f>6312+5155</f>
        <v>11467</v>
      </c>
      <c r="D441" s="49">
        <f>150+236</f>
        <v>386</v>
      </c>
      <c r="E441" s="50">
        <f t="shared" ref="E441:E446" si="148">C441/D441</f>
        <v>29.707253886010363</v>
      </c>
      <c r="F441" s="48">
        <f>641+226</f>
        <v>867</v>
      </c>
      <c r="G441" s="49">
        <f>79+36</f>
        <v>115</v>
      </c>
      <c r="H441" s="51">
        <f t="shared" ref="H441:H446" si="149">F441/G441</f>
        <v>7.5391304347826091</v>
      </c>
      <c r="I441" s="52">
        <f t="shared" ref="I441:J446" si="150">C441+F441</f>
        <v>12334</v>
      </c>
      <c r="J441" s="52">
        <f t="shared" si="150"/>
        <v>501</v>
      </c>
      <c r="K441" s="53">
        <f t="shared" ref="K441:K446" si="151">I441/J441</f>
        <v>24.618762475049902</v>
      </c>
    </row>
    <row r="442" spans="2:11" ht="13.2">
      <c r="B442" s="55" t="s">
        <v>10</v>
      </c>
      <c r="C442" s="56">
        <f>2783+6743</f>
        <v>9526</v>
      </c>
      <c r="D442" s="57">
        <f>26+117</f>
        <v>143</v>
      </c>
      <c r="E442" s="58">
        <f t="shared" si="148"/>
        <v>66.615384615384613</v>
      </c>
      <c r="F442" s="56">
        <f>915+24</f>
        <v>939</v>
      </c>
      <c r="G442" s="57">
        <f>36+1</f>
        <v>37</v>
      </c>
      <c r="H442" s="59">
        <f t="shared" si="149"/>
        <v>25.378378378378379</v>
      </c>
      <c r="I442" s="60">
        <f t="shared" si="150"/>
        <v>10465</v>
      </c>
      <c r="J442" s="60">
        <f t="shared" si="150"/>
        <v>180</v>
      </c>
      <c r="K442" s="61">
        <f t="shared" si="151"/>
        <v>58.138888888888886</v>
      </c>
    </row>
    <row r="443" spans="2:11" ht="13.2">
      <c r="B443" s="55" t="s">
        <v>11</v>
      </c>
      <c r="C443" s="56">
        <f>4521+2786</f>
        <v>7307</v>
      </c>
      <c r="D443" s="57">
        <f>128+137</f>
        <v>265</v>
      </c>
      <c r="E443" s="58">
        <f t="shared" si="148"/>
        <v>27.573584905660379</v>
      </c>
      <c r="F443" s="56">
        <f>461+70</f>
        <v>531</v>
      </c>
      <c r="G443" s="57">
        <f>59+7</f>
        <v>66</v>
      </c>
      <c r="H443" s="59">
        <f t="shared" si="149"/>
        <v>8.045454545454545</v>
      </c>
      <c r="I443" s="60">
        <f t="shared" si="150"/>
        <v>7838</v>
      </c>
      <c r="J443" s="60">
        <f t="shared" si="150"/>
        <v>331</v>
      </c>
      <c r="K443" s="61">
        <f t="shared" si="151"/>
        <v>23.679758308157101</v>
      </c>
    </row>
    <row r="444" spans="2:11" ht="13.2">
      <c r="B444" s="55" t="s">
        <v>12</v>
      </c>
      <c r="C444" s="56">
        <f>6918+9091</f>
        <v>16009</v>
      </c>
      <c r="D444" s="57">
        <f>177+351</f>
        <v>528</v>
      </c>
      <c r="E444" s="58">
        <f t="shared" si="148"/>
        <v>30.320075757575758</v>
      </c>
      <c r="F444" s="56">
        <f>1223+108</f>
        <v>1331</v>
      </c>
      <c r="G444" s="57">
        <f>101+8</f>
        <v>109</v>
      </c>
      <c r="H444" s="59">
        <f t="shared" si="149"/>
        <v>12.211009174311927</v>
      </c>
      <c r="I444" s="60">
        <f t="shared" si="150"/>
        <v>17340</v>
      </c>
      <c r="J444" s="60">
        <f t="shared" si="150"/>
        <v>637</v>
      </c>
      <c r="K444" s="61">
        <f t="shared" si="151"/>
        <v>27.221350078492936</v>
      </c>
    </row>
    <row r="445" spans="2:11" ht="13.2">
      <c r="B445" s="55" t="s">
        <v>21</v>
      </c>
      <c r="C445" s="56">
        <f>7572+4669</f>
        <v>12241</v>
      </c>
      <c r="D445" s="57">
        <f>216+181</f>
        <v>397</v>
      </c>
      <c r="E445" s="58">
        <f t="shared" si="148"/>
        <v>30.833753148614608</v>
      </c>
      <c r="F445" s="56">
        <f>984+208</f>
        <v>1192</v>
      </c>
      <c r="G445" s="57">
        <f>96+27</f>
        <v>123</v>
      </c>
      <c r="H445" s="59">
        <f t="shared" si="149"/>
        <v>9.691056910569106</v>
      </c>
      <c r="I445" s="60">
        <f t="shared" si="150"/>
        <v>13433</v>
      </c>
      <c r="J445" s="60">
        <f t="shared" si="150"/>
        <v>520</v>
      </c>
      <c r="K445" s="61">
        <f t="shared" si="151"/>
        <v>25.832692307692309</v>
      </c>
    </row>
    <row r="446" spans="2:11" ht="13.2">
      <c r="B446" s="55" t="s">
        <v>13</v>
      </c>
      <c r="C446" s="56">
        <f>55809+15211</f>
        <v>71020</v>
      </c>
      <c r="D446" s="57">
        <f>1397+641</f>
        <v>2038</v>
      </c>
      <c r="E446" s="58">
        <f t="shared" si="148"/>
        <v>34.847890088321883</v>
      </c>
      <c r="F446" s="56">
        <f>2136+800</f>
        <v>2936</v>
      </c>
      <c r="G446" s="57">
        <f>172+63</f>
        <v>235</v>
      </c>
      <c r="H446" s="59">
        <f t="shared" si="149"/>
        <v>12.493617021276595</v>
      </c>
      <c r="I446" s="60">
        <f t="shared" si="150"/>
        <v>73956</v>
      </c>
      <c r="J446" s="60">
        <f t="shared" si="150"/>
        <v>2273</v>
      </c>
      <c r="K446" s="61">
        <f t="shared" si="151"/>
        <v>32.536735591728991</v>
      </c>
    </row>
    <row r="447" spans="2:11" ht="13.2">
      <c r="B447" s="63"/>
      <c r="C447" s="64"/>
      <c r="D447" s="65"/>
      <c r="E447" s="66"/>
      <c r="F447" s="64"/>
      <c r="G447" s="65"/>
      <c r="H447" s="67"/>
      <c r="I447" s="68"/>
      <c r="J447" s="68"/>
      <c r="K447" s="69"/>
    </row>
    <row r="448" spans="2:11" ht="26.4">
      <c r="B448" s="27" t="s">
        <v>14</v>
      </c>
      <c r="C448" s="70">
        <f>(93611+50491)-C453</f>
        <v>139468</v>
      </c>
      <c r="D448" s="71">
        <f>(2319+1874)-D453</f>
        <v>4086</v>
      </c>
      <c r="E448" s="50">
        <f>C448/D448</f>
        <v>34.133137542829175</v>
      </c>
      <c r="F448" s="70">
        <f>(6744+1721)-F453</f>
        <v>8351</v>
      </c>
      <c r="G448" s="71">
        <f>(584+164)-G453</f>
        <v>727</v>
      </c>
      <c r="H448" s="51">
        <f>F448/G448</f>
        <v>11.486932599724897</v>
      </c>
      <c r="I448" s="52">
        <f>C448+F448</f>
        <v>147819</v>
      </c>
      <c r="J448" s="52">
        <f>D448+G448</f>
        <v>4813</v>
      </c>
      <c r="K448" s="53">
        <f>I448/J448</f>
        <v>30.712445460211924</v>
      </c>
    </row>
    <row r="449" spans="2:11" ht="13.2">
      <c r="C449" s="20"/>
      <c r="G449" s="72"/>
    </row>
    <row r="450" spans="2:11" ht="5.25" customHeight="1"/>
    <row r="451" spans="2:11" ht="5.25" customHeight="1"/>
    <row r="453" spans="2:11" ht="13.2">
      <c r="B453" s="27" t="s">
        <v>22</v>
      </c>
      <c r="C453" s="48">
        <v>4634</v>
      </c>
      <c r="D453" s="49">
        <v>107</v>
      </c>
      <c r="E453" s="73">
        <f>C453/D453</f>
        <v>43.308411214953274</v>
      </c>
      <c r="F453" s="48">
        <f>80+34</f>
        <v>114</v>
      </c>
      <c r="G453" s="49">
        <f>12+9</f>
        <v>21</v>
      </c>
      <c r="H453" s="73">
        <f>F453/G453</f>
        <v>5.4285714285714288</v>
      </c>
      <c r="I453" s="52">
        <f t="shared" ref="I453:J455" si="152">C453+F453</f>
        <v>4748</v>
      </c>
      <c r="J453" s="52">
        <f t="shared" si="152"/>
        <v>128</v>
      </c>
      <c r="K453" s="74">
        <f>I453/J453</f>
        <v>37.09375</v>
      </c>
    </row>
    <row r="454" spans="2:11" ht="13.2">
      <c r="B454" s="27" t="s">
        <v>23</v>
      </c>
      <c r="C454" s="48">
        <v>3771</v>
      </c>
      <c r="D454" s="49">
        <v>46</v>
      </c>
      <c r="E454" s="73">
        <f>C454/D454</f>
        <v>81.978260869565219</v>
      </c>
      <c r="F454" s="75">
        <v>0</v>
      </c>
      <c r="G454" s="76">
        <v>0</v>
      </c>
      <c r="H454" s="73"/>
      <c r="I454" s="52">
        <f t="shared" si="152"/>
        <v>3771</v>
      </c>
      <c r="J454" s="52">
        <f t="shared" si="152"/>
        <v>46</v>
      </c>
      <c r="K454" s="74">
        <f>I454/J454</f>
        <v>81.978260869565219</v>
      </c>
    </row>
    <row r="455" spans="2:11" ht="13.2">
      <c r="B455" s="27" t="s">
        <v>24</v>
      </c>
      <c r="C455" s="48">
        <f>5925+2202</f>
        <v>8127</v>
      </c>
      <c r="D455" s="49">
        <f>179+104</f>
        <v>283</v>
      </c>
      <c r="E455" s="73">
        <f>C455/D455</f>
        <v>28.71731448763251</v>
      </c>
      <c r="F455" s="48">
        <f>304+251</f>
        <v>555</v>
      </c>
      <c r="G455" s="49">
        <f>29+13</f>
        <v>42</v>
      </c>
      <c r="H455" s="73">
        <f>F455/G455</f>
        <v>13.214285714285714</v>
      </c>
      <c r="I455" s="52">
        <f t="shared" si="152"/>
        <v>8682</v>
      </c>
      <c r="J455" s="52">
        <f t="shared" si="152"/>
        <v>325</v>
      </c>
      <c r="K455" s="74">
        <f>I455/J455</f>
        <v>26.713846153846156</v>
      </c>
    </row>
    <row r="456" spans="2:11" ht="13.2">
      <c r="B456" s="27"/>
      <c r="C456" s="48"/>
      <c r="D456" s="49"/>
      <c r="E456" s="73"/>
      <c r="F456" s="48"/>
      <c r="G456" s="49"/>
      <c r="H456" s="73"/>
      <c r="I456" s="52"/>
      <c r="J456" s="52"/>
      <c r="K456" s="74"/>
    </row>
    <row r="457" spans="2:11" ht="13.2">
      <c r="B457" s="27"/>
      <c r="C457" s="48"/>
      <c r="D457" s="49"/>
      <c r="E457" s="73"/>
      <c r="F457" s="48"/>
      <c r="G457" s="49"/>
      <c r="H457" s="73"/>
      <c r="I457" s="52"/>
      <c r="J457" s="52"/>
      <c r="K457" s="74"/>
    </row>
    <row r="458" spans="2:11" ht="13.2">
      <c r="B458" s="78" t="s">
        <v>25</v>
      </c>
      <c r="C458" s="79">
        <f>C441+C442+C443+C444+C445+C446+C453+C454+C455</f>
        <v>144102</v>
      </c>
      <c r="D458" s="80">
        <f>D441+D442+D443+D444+D445+D446+D453+D454+D455</f>
        <v>4193</v>
      </c>
      <c r="E458" s="81">
        <f>C458/D458</f>
        <v>34.367278797996661</v>
      </c>
      <c r="F458" s="79">
        <f>F441+F442+F443+F444+F445+F446+F453+F454+F455</f>
        <v>8465</v>
      </c>
      <c r="G458" s="80">
        <f>G441+G442+G443+G444+G445+G446+G453+G454+G455</f>
        <v>748</v>
      </c>
      <c r="H458" s="81">
        <f>F458/G458</f>
        <v>11.316844919786096</v>
      </c>
      <c r="I458" s="82">
        <f>C458+F458</f>
        <v>152567</v>
      </c>
      <c r="J458" s="82">
        <f>D458+G458</f>
        <v>4941</v>
      </c>
      <c r="K458" s="83">
        <f>I458/J458</f>
        <v>30.877757538959724</v>
      </c>
    </row>
  </sheetData>
  <mergeCells count="60">
    <mergeCell ref="C1:E1"/>
    <mergeCell ref="F1:H1"/>
    <mergeCell ref="I1:K1"/>
    <mergeCell ref="C16:E16"/>
    <mergeCell ref="F16:H16"/>
    <mergeCell ref="I16:K16"/>
    <mergeCell ref="C32:E32"/>
    <mergeCell ref="F32:H32"/>
    <mergeCell ref="I32:K32"/>
    <mergeCell ref="C47:E47"/>
    <mergeCell ref="F47:H47"/>
    <mergeCell ref="I47:K47"/>
    <mergeCell ref="C202:E202"/>
    <mergeCell ref="F202:H202"/>
    <mergeCell ref="F219:H219"/>
    <mergeCell ref="C219:E219"/>
    <mergeCell ref="I219:K219"/>
    <mergeCell ref="I202:K202"/>
    <mergeCell ref="C234:E234"/>
    <mergeCell ref="I315:K315"/>
    <mergeCell ref="I292:K292"/>
    <mergeCell ref="I274:K274"/>
    <mergeCell ref="I251:K251"/>
    <mergeCell ref="I234:K234"/>
    <mergeCell ref="F234:H234"/>
    <mergeCell ref="C315:E315"/>
    <mergeCell ref="F315:H315"/>
    <mergeCell ref="C292:E292"/>
    <mergeCell ref="F292:H292"/>
    <mergeCell ref="C251:E251"/>
    <mergeCell ref="F251:H251"/>
    <mergeCell ref="C274:E274"/>
    <mergeCell ref="F274:H274"/>
    <mergeCell ref="C125:E125"/>
    <mergeCell ref="F125:H125"/>
    <mergeCell ref="I125:K125"/>
    <mergeCell ref="C140:E140"/>
    <mergeCell ref="F140:H140"/>
    <mergeCell ref="I140:K140"/>
    <mergeCell ref="I187:K187"/>
    <mergeCell ref="C187:E187"/>
    <mergeCell ref="F187:H187"/>
    <mergeCell ref="C156:E156"/>
    <mergeCell ref="F156:H156"/>
    <mergeCell ref="I156:K156"/>
    <mergeCell ref="C171:E171"/>
    <mergeCell ref="F171:H171"/>
    <mergeCell ref="I171:K171"/>
    <mergeCell ref="C94:E94"/>
    <mergeCell ref="F94:H94"/>
    <mergeCell ref="I94:K94"/>
    <mergeCell ref="C109:E109"/>
    <mergeCell ref="F109:H109"/>
    <mergeCell ref="I109:K109"/>
    <mergeCell ref="C63:E63"/>
    <mergeCell ref="F63:H63"/>
    <mergeCell ref="I63:K63"/>
    <mergeCell ref="C78:E78"/>
    <mergeCell ref="F78:H78"/>
    <mergeCell ref="I78:K78"/>
  </mergeCells>
  <phoneticPr fontId="0" type="noConversion"/>
  <printOptions horizontalCentered="1"/>
  <pageMargins left="0.25" right="0.25" top="0.25" bottom="0.25" header="0.5" footer="0.5"/>
  <pageSetup orientation="portrait" horizontalDpi="4294967293" verticalDpi="4294967293" r:id="rId1"/>
  <headerFooter alignWithMargins="0"/>
  <rowBreaks count="5" manualBreakCount="5">
    <brk id="62" min="1" max="10" man="1"/>
    <brk id="93" min="1" max="10" man="1"/>
    <brk id="249" min="1" max="10" man="1"/>
    <brk id="291" min="1" max="10" man="1"/>
    <brk id="412"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84"/>
  <sheetViews>
    <sheetView showGridLines="0" zoomScale="90" zoomScaleNormal="165" zoomScaleSheetLayoutView="90" workbookViewId="0">
      <selection activeCell="CG5" sqref="CG5"/>
    </sheetView>
  </sheetViews>
  <sheetFormatPr defaultColWidth="11.44140625" defaultRowHeight="12.75" customHeight="1"/>
  <cols>
    <col min="1" max="1" width="11.6640625" style="11" bestFit="1" customWidth="1"/>
    <col min="2" max="2" width="11.6640625" style="11" customWidth="1"/>
    <col min="3" max="10" width="5.5546875" style="11" hidden="1" customWidth="1"/>
    <col min="11" max="13" width="5.5546875" style="11" customWidth="1"/>
    <col min="14" max="15" width="5" style="11" bestFit="1" customWidth="1"/>
    <col min="16" max="16" width="2" style="11" hidden="1" customWidth="1"/>
    <col min="17" max="24" width="5.5546875" style="11" hidden="1" customWidth="1"/>
    <col min="25" max="29" width="5.5546875" style="11" customWidth="1"/>
    <col min="30" max="31" width="5.5546875" style="11" hidden="1" customWidth="1"/>
    <col min="32" max="38" width="5.5546875" style="170" hidden="1" customWidth="1"/>
    <col min="39" max="43" width="5.5546875" style="170" customWidth="1"/>
    <col min="44" max="52" width="5.5546875" style="170" hidden="1" customWidth="1"/>
    <col min="53" max="57" width="5.5546875" style="170" customWidth="1"/>
    <col min="58" max="66" width="5.5546875" style="170" hidden="1" customWidth="1"/>
    <col min="67" max="71" width="5.5546875" style="170" customWidth="1"/>
    <col min="72" max="80" width="5.5546875" style="170" hidden="1" customWidth="1"/>
    <col min="81" max="85" width="5.5546875" style="170" customWidth="1"/>
    <col min="86" max="98" width="5.5546875" style="170" hidden="1" customWidth="1"/>
  </cols>
  <sheetData>
    <row r="1" spans="1:99" s="301" customFormat="1" ht="17.399999999999999">
      <c r="A1" s="298" t="s">
        <v>2</v>
      </c>
      <c r="B1" s="298"/>
      <c r="C1" s="298"/>
      <c r="D1" s="298"/>
      <c r="E1" s="298"/>
      <c r="F1" s="298"/>
      <c r="G1" s="298"/>
      <c r="H1" s="298"/>
      <c r="I1" s="298"/>
      <c r="J1" s="298"/>
      <c r="K1" s="298"/>
      <c r="L1" s="298"/>
      <c r="M1" s="298"/>
      <c r="N1" s="299"/>
      <c r="O1" s="299"/>
      <c r="P1" s="299"/>
      <c r="Q1" s="299"/>
      <c r="R1" s="299"/>
      <c r="S1" s="299"/>
      <c r="T1" s="299"/>
      <c r="U1" s="299"/>
      <c r="V1" s="299"/>
      <c r="W1" s="299"/>
      <c r="X1" s="299"/>
      <c r="Y1" s="299"/>
      <c r="Z1" s="299"/>
      <c r="AA1" s="299"/>
      <c r="AB1" s="299"/>
      <c r="AC1" s="299"/>
      <c r="AD1" s="299"/>
      <c r="AE1" s="299"/>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297"/>
      <c r="BN1" s="297"/>
      <c r="BO1" s="297"/>
      <c r="BP1" s="297"/>
      <c r="BQ1" s="297"/>
      <c r="BR1" s="297"/>
      <c r="BS1" s="297"/>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row>
    <row r="2" spans="1:99" s="164" customFormat="1" ht="13.2">
      <c r="A2" s="166"/>
      <c r="B2" s="166"/>
      <c r="C2" s="171" t="s">
        <v>61</v>
      </c>
      <c r="D2" s="171"/>
      <c r="E2" s="171"/>
      <c r="F2" s="171"/>
      <c r="I2" s="171"/>
      <c r="K2" s="171" t="s">
        <v>121</v>
      </c>
      <c r="L2" s="171"/>
      <c r="M2" s="171"/>
      <c r="N2" s="171"/>
      <c r="O2" s="312"/>
      <c r="P2" s="2"/>
      <c r="Q2" s="2"/>
      <c r="R2" s="2"/>
      <c r="S2" s="2"/>
      <c r="T2" s="2"/>
      <c r="U2" s="2"/>
      <c r="W2" s="171"/>
      <c r="Y2" s="171" t="s">
        <v>15</v>
      </c>
      <c r="Z2" s="171"/>
      <c r="AA2" s="171"/>
      <c r="AB2" s="171"/>
      <c r="AC2" s="312"/>
      <c r="AD2" s="2"/>
      <c r="AE2" s="2"/>
      <c r="AF2" s="2"/>
      <c r="AG2" s="2"/>
      <c r="AH2" s="2"/>
      <c r="AI2" s="2"/>
      <c r="AK2" s="171"/>
      <c r="AM2" s="171" t="s">
        <v>16</v>
      </c>
      <c r="AN2" s="171"/>
      <c r="AO2" s="171"/>
      <c r="AP2" s="171"/>
      <c r="AQ2" s="312"/>
      <c r="AR2" s="2"/>
      <c r="AS2" s="2"/>
      <c r="AT2" s="2"/>
      <c r="AU2" s="2"/>
      <c r="AV2" s="2"/>
      <c r="AW2" s="2"/>
      <c r="AY2" s="171"/>
      <c r="BA2" s="171" t="s">
        <v>100</v>
      </c>
      <c r="BB2" s="171"/>
      <c r="BC2" s="171"/>
      <c r="BD2" s="171"/>
      <c r="BE2" s="171"/>
      <c r="BF2" s="2"/>
      <c r="BG2" s="2"/>
      <c r="BH2" s="2"/>
      <c r="BI2" s="2"/>
      <c r="BJ2" s="2"/>
      <c r="BK2" s="2"/>
      <c r="BM2" s="171"/>
      <c r="BO2" s="171" t="s">
        <v>101</v>
      </c>
      <c r="BP2" s="171"/>
      <c r="BQ2" s="171"/>
      <c r="BR2" s="171"/>
      <c r="BS2" s="312"/>
      <c r="BT2" s="2"/>
      <c r="BU2" s="2"/>
      <c r="BV2" s="2"/>
      <c r="BW2" s="2"/>
      <c r="BX2" s="2"/>
      <c r="BY2" s="2"/>
      <c r="CA2" s="171"/>
      <c r="CC2" s="171" t="s">
        <v>13</v>
      </c>
      <c r="CD2" s="171"/>
      <c r="CE2" s="171"/>
      <c r="CF2" s="171"/>
      <c r="CG2" s="171"/>
      <c r="CH2" s="2"/>
      <c r="CI2" s="2"/>
      <c r="CJ2" s="2"/>
      <c r="CK2" s="2"/>
      <c r="CL2" s="2"/>
      <c r="CM2" s="2"/>
      <c r="CN2" s="340" t="s">
        <v>65</v>
      </c>
      <c r="CO2" s="340"/>
      <c r="CP2" s="340"/>
      <c r="CQ2" s="340"/>
      <c r="CR2" s="340"/>
      <c r="CS2" s="340"/>
      <c r="CT2" s="340"/>
    </row>
    <row r="3" spans="1:99" s="162" customFormat="1" ht="13.2">
      <c r="C3" s="237">
        <v>2009</v>
      </c>
      <c r="D3" s="167">
        <v>2010</v>
      </c>
      <c r="E3" s="167">
        <v>2011</v>
      </c>
      <c r="F3" s="167">
        <v>2012</v>
      </c>
      <c r="G3" s="167" t="s">
        <v>68</v>
      </c>
      <c r="H3" s="167" t="s">
        <v>71</v>
      </c>
      <c r="I3" s="167" t="s">
        <v>72</v>
      </c>
      <c r="J3" s="167" t="s">
        <v>74</v>
      </c>
      <c r="K3" s="167" t="s">
        <v>86</v>
      </c>
      <c r="L3" s="167" t="s">
        <v>99</v>
      </c>
      <c r="M3" s="167" t="s">
        <v>105</v>
      </c>
      <c r="N3" s="167" t="s">
        <v>114</v>
      </c>
      <c r="O3" s="167" t="s">
        <v>120</v>
      </c>
      <c r="P3" s="167"/>
      <c r="Q3" s="167">
        <v>2009</v>
      </c>
      <c r="R3" s="167">
        <v>2010</v>
      </c>
      <c r="S3" s="167">
        <v>2011</v>
      </c>
      <c r="T3" s="167">
        <v>2012</v>
      </c>
      <c r="U3" s="167" t="s">
        <v>68</v>
      </c>
      <c r="V3" s="167" t="s">
        <v>71</v>
      </c>
      <c r="W3" s="167" t="s">
        <v>72</v>
      </c>
      <c r="X3" s="167" t="s">
        <v>74</v>
      </c>
      <c r="Y3" s="167" t="s">
        <v>86</v>
      </c>
      <c r="Z3" s="167" t="s">
        <v>99</v>
      </c>
      <c r="AA3" s="167" t="s">
        <v>105</v>
      </c>
      <c r="AB3" s="167" t="s">
        <v>114</v>
      </c>
      <c r="AC3" s="167" t="s">
        <v>120</v>
      </c>
      <c r="AD3" s="167"/>
      <c r="AE3" s="167">
        <v>2009</v>
      </c>
      <c r="AF3" s="167">
        <v>2010</v>
      </c>
      <c r="AG3" s="167">
        <v>2011</v>
      </c>
      <c r="AH3" s="167">
        <v>2012</v>
      </c>
      <c r="AI3" s="167" t="s">
        <v>68</v>
      </c>
      <c r="AJ3" s="167" t="s">
        <v>71</v>
      </c>
      <c r="AK3" s="167" t="s">
        <v>72</v>
      </c>
      <c r="AL3" s="167" t="s">
        <v>74</v>
      </c>
      <c r="AM3" s="167" t="s">
        <v>86</v>
      </c>
      <c r="AN3" s="167" t="s">
        <v>99</v>
      </c>
      <c r="AO3" s="167" t="s">
        <v>105</v>
      </c>
      <c r="AP3" s="167" t="s">
        <v>114</v>
      </c>
      <c r="AQ3" s="167" t="s">
        <v>120</v>
      </c>
      <c r="AR3" s="167"/>
      <c r="AS3" s="167" t="s">
        <v>87</v>
      </c>
      <c r="AT3" s="167">
        <v>2010</v>
      </c>
      <c r="AU3" s="167">
        <v>2011</v>
      </c>
      <c r="AV3" s="167">
        <v>2012</v>
      </c>
      <c r="AW3" s="167" t="s">
        <v>68</v>
      </c>
      <c r="AX3" s="167" t="s">
        <v>71</v>
      </c>
      <c r="AY3" s="167" t="s">
        <v>72</v>
      </c>
      <c r="AZ3" s="167" t="s">
        <v>74</v>
      </c>
      <c r="BA3" s="167" t="s">
        <v>86</v>
      </c>
      <c r="BB3" s="167" t="s">
        <v>99</v>
      </c>
      <c r="BC3" s="167" t="s">
        <v>105</v>
      </c>
      <c r="BD3" s="167" t="s">
        <v>114</v>
      </c>
      <c r="BE3" s="167" t="s">
        <v>120</v>
      </c>
      <c r="BF3" s="167"/>
      <c r="BG3" s="167" t="s">
        <v>87</v>
      </c>
      <c r="BH3" s="167">
        <v>2010</v>
      </c>
      <c r="BI3" s="167">
        <v>2011</v>
      </c>
      <c r="BJ3" s="167">
        <v>2012</v>
      </c>
      <c r="BK3" s="167" t="s">
        <v>68</v>
      </c>
      <c r="BL3" s="167" t="s">
        <v>71</v>
      </c>
      <c r="BM3" s="167" t="s">
        <v>72</v>
      </c>
      <c r="BN3" s="167" t="s">
        <v>74</v>
      </c>
      <c r="BO3" s="167" t="s">
        <v>86</v>
      </c>
      <c r="BP3" s="167" t="s">
        <v>99</v>
      </c>
      <c r="BQ3" s="167" t="s">
        <v>105</v>
      </c>
      <c r="BR3" s="167" t="s">
        <v>114</v>
      </c>
      <c r="BS3" s="167" t="s">
        <v>120</v>
      </c>
      <c r="BT3" s="167"/>
      <c r="BU3" s="167">
        <v>2009</v>
      </c>
      <c r="BV3" s="167">
        <v>2010</v>
      </c>
      <c r="BW3" s="167">
        <v>2011</v>
      </c>
      <c r="BX3" s="167">
        <v>2012</v>
      </c>
      <c r="BY3" s="167" t="s">
        <v>68</v>
      </c>
      <c r="BZ3" s="167" t="s">
        <v>71</v>
      </c>
      <c r="CA3" s="167" t="s">
        <v>72</v>
      </c>
      <c r="CB3" s="167" t="s">
        <v>74</v>
      </c>
      <c r="CC3" s="167" t="s">
        <v>86</v>
      </c>
      <c r="CD3" s="167" t="s">
        <v>99</v>
      </c>
      <c r="CE3" s="167" t="s">
        <v>105</v>
      </c>
      <c r="CF3" s="167" t="s">
        <v>114</v>
      </c>
      <c r="CG3" s="167" t="s">
        <v>120</v>
      </c>
      <c r="CH3" s="167"/>
      <c r="CI3" s="167">
        <v>2009</v>
      </c>
      <c r="CJ3" s="167">
        <v>2010</v>
      </c>
      <c r="CK3" s="167">
        <v>2011</v>
      </c>
      <c r="CL3" s="167">
        <v>2012</v>
      </c>
      <c r="CM3" s="167" t="s">
        <v>68</v>
      </c>
      <c r="CN3" s="167" t="s">
        <v>71</v>
      </c>
      <c r="CO3" s="167" t="s">
        <v>72</v>
      </c>
      <c r="CP3" s="167" t="s">
        <v>74</v>
      </c>
      <c r="CQ3" s="167" t="s">
        <v>86</v>
      </c>
      <c r="CR3" s="167" t="s">
        <v>99</v>
      </c>
      <c r="CS3" s="167" t="s">
        <v>105</v>
      </c>
      <c r="CT3" s="167" t="s">
        <v>114</v>
      </c>
      <c r="CU3" s="163"/>
    </row>
    <row r="4" spans="1:99" s="2" customFormat="1" ht="13.2">
      <c r="A4" s="161" t="s">
        <v>66</v>
      </c>
      <c r="B4" s="161"/>
      <c r="C4" s="238">
        <v>32.9</v>
      </c>
      <c r="D4" s="103">
        <v>35.6</v>
      </c>
      <c r="E4" s="103">
        <v>35</v>
      </c>
      <c r="F4" s="103">
        <v>36.5</v>
      </c>
      <c r="G4" s="103">
        <v>39.1</v>
      </c>
      <c r="H4" s="103">
        <v>39.799999999999997</v>
      </c>
      <c r="I4" s="103">
        <v>40.6</v>
      </c>
      <c r="J4" s="103">
        <v>40</v>
      </c>
      <c r="K4" s="96">
        <v>40.1</v>
      </c>
      <c r="L4" s="96">
        <v>38.299999999999997</v>
      </c>
      <c r="M4" s="96">
        <v>36.4</v>
      </c>
      <c r="N4" s="96">
        <v>33.799999999999997</v>
      </c>
      <c r="O4" s="96">
        <v>32.4</v>
      </c>
      <c r="P4" s="296"/>
      <c r="Q4" s="103">
        <v>63.7</v>
      </c>
      <c r="R4" s="103">
        <v>56.2</v>
      </c>
      <c r="S4" s="103">
        <v>59.1</v>
      </c>
      <c r="T4" s="103">
        <v>57.8</v>
      </c>
      <c r="U4" s="103">
        <v>56.6</v>
      </c>
      <c r="V4" s="96">
        <v>53.8</v>
      </c>
      <c r="W4" s="96">
        <v>54.7</v>
      </c>
      <c r="X4" s="96">
        <v>54.9</v>
      </c>
      <c r="Y4" s="96">
        <v>55.6</v>
      </c>
      <c r="Z4" s="96">
        <v>52.6</v>
      </c>
      <c r="AA4" s="96">
        <v>50.7</v>
      </c>
      <c r="AB4" s="96">
        <v>52</v>
      </c>
      <c r="AC4" s="96">
        <v>49.1</v>
      </c>
      <c r="AD4" s="296"/>
      <c r="AE4" s="103">
        <v>31</v>
      </c>
      <c r="AF4" s="103">
        <v>30.7</v>
      </c>
      <c r="AG4" s="103">
        <v>29.5</v>
      </c>
      <c r="AH4" s="103">
        <v>28.6</v>
      </c>
      <c r="AI4" s="103">
        <v>30.4</v>
      </c>
      <c r="AJ4" s="103">
        <v>32.4</v>
      </c>
      <c r="AK4" s="96">
        <v>29.7</v>
      </c>
      <c r="AL4" s="96">
        <v>29.3</v>
      </c>
      <c r="AM4" s="96">
        <v>29.2</v>
      </c>
      <c r="AN4" s="96">
        <v>28.5</v>
      </c>
      <c r="AO4" s="96">
        <v>30.5</v>
      </c>
      <c r="AP4" s="96">
        <v>28</v>
      </c>
      <c r="AQ4" s="96">
        <v>29.6</v>
      </c>
      <c r="AR4" s="296"/>
      <c r="AS4" s="103">
        <v>33.299999999999997</v>
      </c>
      <c r="AT4" s="103">
        <v>34.9</v>
      </c>
      <c r="AU4" s="103">
        <v>36.299999999999997</v>
      </c>
      <c r="AV4" s="103">
        <v>37</v>
      </c>
      <c r="AW4" s="103">
        <v>37.700000000000003</v>
      </c>
      <c r="AX4" s="103">
        <v>42.7</v>
      </c>
      <c r="AY4" s="103">
        <v>39.799999999999997</v>
      </c>
      <c r="AZ4" s="103">
        <v>39.6</v>
      </c>
      <c r="BA4" s="96">
        <v>39.4</v>
      </c>
      <c r="BB4" s="96">
        <v>39.299999999999997</v>
      </c>
      <c r="BC4" s="96">
        <v>36.9</v>
      </c>
      <c r="BD4" s="96">
        <v>34.9</v>
      </c>
      <c r="BE4" s="96">
        <v>35.200000000000003</v>
      </c>
      <c r="BF4" s="296"/>
      <c r="BG4" s="103">
        <v>32.799999999999997</v>
      </c>
      <c r="BH4" s="103">
        <v>35.299999999999997</v>
      </c>
      <c r="BI4" s="103">
        <v>40.799999999999997</v>
      </c>
      <c r="BJ4" s="103">
        <v>43.1</v>
      </c>
      <c r="BK4" s="103">
        <v>44.8</v>
      </c>
      <c r="BL4" s="103">
        <v>45.7</v>
      </c>
      <c r="BM4" s="103">
        <v>44.9</v>
      </c>
      <c r="BN4" s="103">
        <v>43.6</v>
      </c>
      <c r="BO4" s="103">
        <v>41.2</v>
      </c>
      <c r="BP4" s="103">
        <v>38.200000000000003</v>
      </c>
      <c r="BQ4" s="103">
        <v>35.9</v>
      </c>
      <c r="BR4" s="103">
        <v>35</v>
      </c>
      <c r="BS4" s="103">
        <v>34.9</v>
      </c>
      <c r="BT4" s="296"/>
      <c r="BU4" s="103">
        <v>36.9</v>
      </c>
      <c r="BV4" s="103">
        <v>36</v>
      </c>
      <c r="BW4" s="103">
        <v>36.4</v>
      </c>
      <c r="BX4" s="103">
        <v>35.700000000000003</v>
      </c>
      <c r="BY4" s="103">
        <v>37.4</v>
      </c>
      <c r="BZ4" s="103">
        <v>37.799999999999997</v>
      </c>
      <c r="CA4" s="103">
        <v>38.1</v>
      </c>
      <c r="CB4" s="96">
        <v>38.9</v>
      </c>
      <c r="CC4" s="96">
        <v>38.6</v>
      </c>
      <c r="CD4" s="96">
        <v>38.5</v>
      </c>
      <c r="CE4" s="96">
        <v>37.4</v>
      </c>
      <c r="CF4" s="96">
        <v>36.200000000000003</v>
      </c>
      <c r="CG4" s="96">
        <v>36.700000000000003</v>
      </c>
      <c r="CH4" s="103"/>
      <c r="CI4" s="103">
        <v>36.299999999999997</v>
      </c>
      <c r="CJ4" s="103">
        <v>36.4</v>
      </c>
      <c r="CK4" s="103">
        <v>37.4</v>
      </c>
      <c r="CL4" s="103">
        <v>37.200000000000003</v>
      </c>
      <c r="CM4" s="103">
        <v>38.9</v>
      </c>
      <c r="CN4" s="176">
        <v>40.1</v>
      </c>
      <c r="CO4" s="176">
        <v>39.799999999999997</v>
      </c>
      <c r="CP4" s="103">
        <v>40</v>
      </c>
      <c r="CQ4" s="103">
        <v>39.799999999999997</v>
      </c>
      <c r="CR4" s="103">
        <v>39.200000000000003</v>
      </c>
      <c r="CS4" s="103">
        <v>37.9</v>
      </c>
      <c r="CT4" s="103"/>
    </row>
    <row r="5" spans="1:99" ht="13.2">
      <c r="A5" t="s">
        <v>115</v>
      </c>
      <c r="B5"/>
      <c r="C5"/>
      <c r="D5"/>
      <c r="E5"/>
      <c r="F5"/>
      <c r="G5" s="294">
        <f>AVERAGE(C4:G4)</f>
        <v>35.82</v>
      </c>
      <c r="H5" s="295">
        <f>AVERAGE(D4:H4)</f>
        <v>37.200000000000003</v>
      </c>
      <c r="I5" s="295">
        <f t="shared" ref="I5:O5" si="0">AVERAGE(E4:I4)</f>
        <v>38.199999999999996</v>
      </c>
      <c r="J5" s="295">
        <f t="shared" si="0"/>
        <v>39.200000000000003</v>
      </c>
      <c r="K5" s="295">
        <f t="shared" si="0"/>
        <v>39.92</v>
      </c>
      <c r="L5" s="295">
        <f t="shared" si="0"/>
        <v>39.760000000000005</v>
      </c>
      <c r="M5" s="295">
        <f t="shared" si="0"/>
        <v>39.08</v>
      </c>
      <c r="N5" s="295">
        <f t="shared" si="0"/>
        <v>37.719999999999992</v>
      </c>
      <c r="O5" s="295">
        <f t="shared" si="0"/>
        <v>36.200000000000003</v>
      </c>
      <c r="P5" s="294"/>
      <c r="Q5"/>
      <c r="R5"/>
      <c r="S5"/>
      <c r="T5"/>
      <c r="U5" s="294">
        <f>AVERAGE(Q4:U4)</f>
        <v>58.680000000000007</v>
      </c>
      <c r="V5" s="294">
        <f t="shared" ref="V5:AC5" si="1">AVERAGE(R4:V4)</f>
        <v>56.7</v>
      </c>
      <c r="W5" s="294">
        <f t="shared" si="1"/>
        <v>56.4</v>
      </c>
      <c r="X5" s="295">
        <f>AVERAGE(T4:X4)</f>
        <v>55.559999999999988</v>
      </c>
      <c r="Y5" s="295">
        <f>AVERAGE(U4:Y4)</f>
        <v>55.120000000000005</v>
      </c>
      <c r="Z5" s="295">
        <f>AVERAGE(V4:Z4)</f>
        <v>54.320000000000007</v>
      </c>
      <c r="AA5" s="295">
        <f>AVERAGE(W4:AA4)</f>
        <v>53.7</v>
      </c>
      <c r="AB5" s="295">
        <f t="shared" si="1"/>
        <v>53.160000000000004</v>
      </c>
      <c r="AC5" s="295">
        <f t="shared" si="1"/>
        <v>52</v>
      </c>
      <c r="AD5" s="294"/>
      <c r="AE5"/>
      <c r="AF5"/>
      <c r="AG5"/>
      <c r="AH5"/>
      <c r="AI5" s="294">
        <f>AVERAGE(AE4:AI4)</f>
        <v>30.040000000000003</v>
      </c>
      <c r="AJ5" s="294">
        <f t="shared" ref="AJ5:AQ5" si="2">AVERAGE(AF4:AJ4)</f>
        <v>30.320000000000004</v>
      </c>
      <c r="AK5" s="294">
        <f t="shared" si="2"/>
        <v>30.119999999999997</v>
      </c>
      <c r="AL5" s="294">
        <f>AVERAGE(AH4:AL4)</f>
        <v>30.080000000000002</v>
      </c>
      <c r="AM5" s="294">
        <f>AVERAGE(AI4:AM4)</f>
        <v>30.2</v>
      </c>
      <c r="AN5" s="294">
        <f>AVERAGE(AJ4:AN4)</f>
        <v>29.82</v>
      </c>
      <c r="AO5" s="294">
        <f>AVERAGE(AK4:AO4)</f>
        <v>29.439999999999998</v>
      </c>
      <c r="AP5" s="294">
        <f t="shared" si="2"/>
        <v>29.1</v>
      </c>
      <c r="AQ5" s="294">
        <f t="shared" si="2"/>
        <v>29.160000000000004</v>
      </c>
      <c r="AR5" s="294"/>
      <c r="AS5"/>
      <c r="AT5"/>
      <c r="AU5"/>
      <c r="AV5"/>
      <c r="AW5" s="294">
        <f>AVERAGE(AS4:AW4)</f>
        <v>35.839999999999996</v>
      </c>
      <c r="AX5" s="294">
        <f t="shared" ref="AX5:BE5" si="3">AVERAGE(AT4:AX4)</f>
        <v>37.719999999999992</v>
      </c>
      <c r="AY5" s="294">
        <f t="shared" si="3"/>
        <v>38.700000000000003</v>
      </c>
      <c r="AZ5" s="294">
        <f t="shared" si="3"/>
        <v>39.36</v>
      </c>
      <c r="BA5" s="294">
        <f t="shared" si="3"/>
        <v>39.840000000000003</v>
      </c>
      <c r="BB5" s="294">
        <f t="shared" si="3"/>
        <v>40.160000000000004</v>
      </c>
      <c r="BC5" s="294">
        <f t="shared" si="3"/>
        <v>39.000000000000007</v>
      </c>
      <c r="BD5" s="294">
        <f t="shared" si="3"/>
        <v>38.019999999999996</v>
      </c>
      <c r="BE5" s="294">
        <f t="shared" si="3"/>
        <v>37.14</v>
      </c>
      <c r="BF5" s="294"/>
      <c r="BG5"/>
      <c r="BH5"/>
      <c r="BI5"/>
      <c r="BJ5"/>
      <c r="BK5" s="294">
        <f>AVERAGE(BG4:BK4)</f>
        <v>39.36</v>
      </c>
      <c r="BL5" s="294">
        <f t="shared" ref="BL5:BS5" si="4">AVERAGE(BH4:BL4)</f>
        <v>41.94</v>
      </c>
      <c r="BM5" s="294">
        <f t="shared" si="4"/>
        <v>43.86</v>
      </c>
      <c r="BN5" s="294">
        <f t="shared" si="4"/>
        <v>44.42</v>
      </c>
      <c r="BO5" s="295">
        <f t="shared" si="4"/>
        <v>44.04</v>
      </c>
      <c r="BP5" s="295">
        <f t="shared" si="4"/>
        <v>42.719999999999992</v>
      </c>
      <c r="BQ5" s="295">
        <f t="shared" si="4"/>
        <v>40.76</v>
      </c>
      <c r="BR5" s="294">
        <f t="shared" si="4"/>
        <v>38.78</v>
      </c>
      <c r="BS5" s="294">
        <f t="shared" si="4"/>
        <v>37.040000000000006</v>
      </c>
      <c r="BT5" s="294"/>
      <c r="BU5"/>
      <c r="BV5"/>
      <c r="BW5"/>
      <c r="BX5"/>
      <c r="BY5" s="294">
        <f>AVERAGE(BU4:BY4)</f>
        <v>36.480000000000004</v>
      </c>
      <c r="BZ5" s="294">
        <f t="shared" ref="BZ5:CE5" si="5">AVERAGE(BV4:BZ4)</f>
        <v>36.660000000000004</v>
      </c>
      <c r="CA5" s="294">
        <f t="shared" si="5"/>
        <v>37.08</v>
      </c>
      <c r="CB5" s="295">
        <f t="shared" si="5"/>
        <v>37.58</v>
      </c>
      <c r="CC5" s="295">
        <f t="shared" si="5"/>
        <v>38.159999999999997</v>
      </c>
      <c r="CD5" s="295">
        <f t="shared" si="5"/>
        <v>38.380000000000003</v>
      </c>
      <c r="CE5" s="295">
        <f t="shared" si="5"/>
        <v>38.299999999999997</v>
      </c>
      <c r="CF5" s="295">
        <f>AVERAGE(CA4:CF4)</f>
        <v>37.949999999999996</v>
      </c>
      <c r="CG5" s="295">
        <f>AVERAGE(CB4:CG4)</f>
        <v>37.716666666666669</v>
      </c>
      <c r="CH5" s="294"/>
      <c r="CI5"/>
      <c r="CJ5"/>
      <c r="CK5"/>
      <c r="CL5"/>
      <c r="CM5" s="294">
        <f>AVERAGE(CI4:CM4)</f>
        <v>37.24</v>
      </c>
      <c r="CN5" s="294">
        <f t="shared" ref="CN5:CT5" si="6">AVERAGE(CJ4:CN4)</f>
        <v>38</v>
      </c>
      <c r="CO5" s="294">
        <f t="shared" si="6"/>
        <v>38.679999999999993</v>
      </c>
      <c r="CP5" s="294">
        <f t="shared" si="6"/>
        <v>39.200000000000003</v>
      </c>
      <c r="CQ5" s="294">
        <f t="shared" si="6"/>
        <v>39.720000000000006</v>
      </c>
      <c r="CR5" s="294">
        <f t="shared" si="6"/>
        <v>39.779999999999994</v>
      </c>
      <c r="CS5" s="294">
        <f t="shared" si="6"/>
        <v>39.340000000000003</v>
      </c>
      <c r="CT5" s="294">
        <f t="shared" si="6"/>
        <v>39.225000000000001</v>
      </c>
    </row>
    <row r="6" spans="1:99" ht="15.75" customHeight="1">
      <c r="A6" t="s">
        <v>88</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row>
    <row r="7" spans="1:99" ht="23.25" customHeight="1">
      <c r="A7" t="s">
        <v>89</v>
      </c>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row>
    <row r="8" spans="1:99" ht="30.75"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row>
    <row r="9" spans="1:99" ht="30.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row>
    <row r="10" spans="1:99" ht="30.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row>
    <row r="11" spans="1:99" ht="30.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row>
    <row r="12" spans="1:99" ht="13.2">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row>
    <row r="13" spans="1:99" ht="39" customHeight="1"/>
    <row r="18" spans="1:105" s="5" customFormat="1" ht="27"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c r="CV18"/>
      <c r="CW18"/>
      <c r="CX18"/>
      <c r="CY18"/>
      <c r="CZ18"/>
      <c r="DA18"/>
    </row>
    <row r="19" spans="1:105" s="5" customFormat="1" ht="27" customHeight="1">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170"/>
      <c r="CO19" s="170"/>
      <c r="CP19" s="170"/>
      <c r="CQ19" s="170"/>
      <c r="CR19" s="170"/>
      <c r="CS19" s="170"/>
      <c r="CT19" s="170"/>
      <c r="CU19"/>
      <c r="CV19"/>
      <c r="CW19"/>
      <c r="CX19"/>
      <c r="CY19"/>
      <c r="CZ19"/>
      <c r="DA19"/>
    </row>
    <row r="20" spans="1:105" s="5" customFormat="1" ht="27"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c r="CO20" s="170"/>
      <c r="CP20" s="170"/>
      <c r="CQ20" s="170"/>
      <c r="CR20" s="170"/>
      <c r="CS20" s="170"/>
      <c r="CT20" s="170"/>
      <c r="CU20"/>
      <c r="CV20"/>
      <c r="CW20"/>
      <c r="CX20"/>
      <c r="CY20"/>
      <c r="CZ20"/>
      <c r="DA20"/>
    </row>
    <row r="21" spans="1:105" s="5" customFormat="1" ht="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c r="CO21" s="170"/>
      <c r="CP21" s="170"/>
      <c r="CQ21" s="170"/>
      <c r="CR21" s="170"/>
      <c r="CS21" s="170"/>
      <c r="CT21" s="170"/>
      <c r="CU21"/>
      <c r="CV21"/>
      <c r="CW21"/>
      <c r="CX21"/>
      <c r="CY21"/>
      <c r="CZ21"/>
      <c r="DA21"/>
    </row>
    <row r="22" spans="1:105" s="5" customFormat="1" ht="7.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c r="CV22"/>
      <c r="CW22"/>
      <c r="CX22"/>
      <c r="CY22"/>
      <c r="CZ22"/>
      <c r="DA22"/>
    </row>
    <row r="23" spans="1:105" s="5" customFormat="1" ht="27"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c r="CV23"/>
      <c r="CW23"/>
      <c r="CX23"/>
      <c r="CY23"/>
      <c r="CZ23"/>
      <c r="DA23"/>
    </row>
    <row r="46" spans="1:99" s="301" customFormat="1" ht="17.399999999999999">
      <c r="A46" s="298"/>
      <c r="B46" s="298"/>
      <c r="C46" s="298"/>
      <c r="D46" s="298"/>
      <c r="E46" s="298"/>
      <c r="F46" s="298"/>
      <c r="G46" s="298"/>
      <c r="H46" s="298"/>
      <c r="I46" s="298"/>
      <c r="J46" s="298"/>
      <c r="K46" s="298"/>
      <c r="L46" s="298"/>
      <c r="M46" s="298"/>
      <c r="N46" s="299"/>
      <c r="O46" s="299"/>
      <c r="P46" s="299"/>
      <c r="Q46" s="299"/>
      <c r="R46" s="299"/>
      <c r="S46" s="299"/>
      <c r="T46" s="299"/>
      <c r="U46" s="299"/>
      <c r="V46" s="299"/>
      <c r="W46" s="299"/>
      <c r="X46" s="299"/>
      <c r="Y46" s="299"/>
      <c r="Z46" s="299"/>
      <c r="AA46" s="299"/>
      <c r="AB46" s="299"/>
      <c r="AC46" s="299"/>
      <c r="AD46" s="299"/>
      <c r="AE46" s="299"/>
      <c r="AF46" s="300"/>
      <c r="AG46" s="300"/>
      <c r="AH46" s="300"/>
      <c r="AI46" s="300"/>
      <c r="AJ46" s="300"/>
      <c r="AK46" s="300"/>
      <c r="AL46" s="300"/>
      <c r="AM46" s="300"/>
      <c r="AN46" s="300"/>
      <c r="AO46" s="300"/>
      <c r="AP46" s="300"/>
      <c r="AQ46" s="300"/>
      <c r="AR46" s="300"/>
      <c r="AS46" s="300"/>
      <c r="AT46" s="300"/>
      <c r="AU46" s="300"/>
      <c r="AV46" s="300"/>
      <c r="AW46" s="300"/>
      <c r="AX46" s="300"/>
      <c r="AY46" s="300"/>
      <c r="AZ46" s="300"/>
      <c r="BA46" s="300"/>
      <c r="BB46" s="300"/>
      <c r="BC46" s="300"/>
      <c r="BD46" s="300"/>
      <c r="BE46" s="300"/>
      <c r="BF46" s="300"/>
      <c r="BG46" s="300"/>
      <c r="BH46" s="300"/>
      <c r="BI46" s="300"/>
      <c r="BJ46" s="300"/>
      <c r="BK46" s="300"/>
      <c r="BL46" s="300"/>
      <c r="BM46" s="297"/>
      <c r="BN46" s="297"/>
      <c r="BO46" s="297"/>
      <c r="BP46" s="297"/>
      <c r="BQ46" s="297"/>
      <c r="BR46" s="297"/>
      <c r="BS46" s="297"/>
      <c r="BT46" s="300"/>
      <c r="BU46" s="300"/>
      <c r="BV46" s="300"/>
      <c r="BW46" s="300"/>
      <c r="BX46" s="300"/>
      <c r="BY46" s="300"/>
      <c r="BZ46" s="300"/>
      <c r="CA46" s="300"/>
      <c r="CB46" s="300"/>
      <c r="CC46" s="300"/>
      <c r="CD46" s="300"/>
      <c r="CE46" s="300"/>
      <c r="CF46" s="300"/>
      <c r="CG46" s="300"/>
      <c r="CH46" s="300"/>
      <c r="CI46" s="300"/>
      <c r="CJ46" s="300"/>
      <c r="CK46" s="300"/>
      <c r="CL46" s="300"/>
      <c r="CM46" s="300"/>
      <c r="CN46" s="300"/>
      <c r="CO46" s="300"/>
      <c r="CP46" s="300"/>
      <c r="CQ46" s="300"/>
      <c r="CR46" s="300"/>
      <c r="CS46" s="300"/>
      <c r="CT46" s="300"/>
      <c r="CU46" s="300"/>
    </row>
    <row r="47" spans="1:99" ht="12.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row>
    <row r="48" spans="1:99" ht="12"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row>
    <row r="49" spans="1:98" ht="12.9"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row>
    <row r="50" spans="1:98" ht="12.6"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row>
    <row r="51" spans="1:98" ht="12.6"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row>
    <row r="52" spans="1:98" ht="12.9"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row>
    <row r="53" spans="1:98" ht="12"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row>
    <row r="54" spans="1:98" ht="12.9"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row>
    <row r="55" spans="1:98" ht="12.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row>
    <row r="56" spans="1:98" ht="12.6"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row>
    <row r="57" spans="1:98" ht="12.9"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row>
    <row r="58" spans="1:98" ht="12"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row>
    <row r="59" spans="1:98" ht="12.9"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row>
    <row r="60" spans="1:98" ht="12.6"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row>
    <row r="61" spans="1:98" ht="12.6"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row>
    <row r="62" spans="1:98" ht="12.9"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row>
    <row r="63" spans="1:98" ht="12.75" hidden="1"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row>
    <row r="64" spans="1:98" ht="12.75" hidden="1"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row>
    <row r="65" spans="1:98" ht="12.75" hidden="1"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row>
    <row r="66" spans="1:98" ht="12"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row>
    <row r="67" spans="1:98" ht="12.9" customHeigh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row>
    <row r="68" spans="1:98" ht="12.6"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row>
    <row r="69" spans="1:98" ht="12.6"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row>
    <row r="70" spans="1:98" ht="12.9"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row>
    <row r="71" spans="1:98" ht="12.75" hidden="1" customHeigh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row>
    <row r="72" spans="1:98" ht="12.75" hidden="1" customHeigh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row>
    <row r="73" spans="1:98" ht="12.75" hidden="1"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row>
    <row r="74" spans="1:98" ht="12"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row>
    <row r="75" spans="1:98" ht="12.9"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row>
    <row r="76" spans="1:98" ht="12.6" customHeigh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row>
    <row r="77" spans="1:98" ht="12.6" customHeigh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row>
    <row r="78" spans="1:98" ht="12.6" customHeigh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row>
    <row r="79" spans="1:98" ht="12" customHeigh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row>
    <row r="80" spans="1:98" ht="12.9" customHeigh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row>
    <row r="81" spans="1:98" ht="12.6" customHeigh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row>
    <row r="82" spans="1:98" ht="12.6" customHeigh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row>
    <row r="83" spans="1:98" ht="12.6" customHeigh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row>
    <row r="84" spans="1:98" ht="12.75" customHeigh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row>
  </sheetData>
  <mergeCells count="1">
    <mergeCell ref="CN2:CT2"/>
  </mergeCells>
  <pageMargins left="0.5" right="0.5" top="0.34" bottom="0.5" header="0.3" footer="0.3"/>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
  <sheetViews>
    <sheetView workbookViewId="0">
      <selection activeCell="CA6" sqref="CA6"/>
    </sheetView>
  </sheetViews>
  <sheetFormatPr defaultRowHeight="13.2"/>
  <cols>
    <col min="1" max="1" width="30.33203125" bestFit="1" customWidth="1"/>
    <col min="2" max="2" width="8.88671875" hidden="1" customWidth="1"/>
    <col min="3" max="7" width="5" hidden="1" customWidth="1"/>
    <col min="8" max="8" width="6.109375" hidden="1" customWidth="1"/>
    <col min="9" max="9" width="5" hidden="1" customWidth="1"/>
    <col min="10" max="14" width="5" bestFit="1" customWidth="1"/>
    <col min="15" max="20" width="5" hidden="1" customWidth="1"/>
    <col min="21" max="21" width="6.109375" hidden="1" customWidth="1"/>
    <col min="22" max="22" width="5" hidden="1" customWidth="1"/>
    <col min="23" max="27" width="5" bestFit="1" customWidth="1"/>
    <col min="28" max="33" width="5" hidden="1" customWidth="1"/>
    <col min="34" max="34" width="6.109375" hidden="1" customWidth="1"/>
    <col min="35" max="35" width="5" hidden="1" customWidth="1"/>
    <col min="36" max="40" width="5" bestFit="1" customWidth="1"/>
    <col min="41" max="46" width="5" hidden="1" customWidth="1"/>
    <col min="47" max="47" width="6.109375" hidden="1" customWidth="1"/>
    <col min="48" max="48" width="5" hidden="1" customWidth="1"/>
    <col min="49" max="53" width="5" bestFit="1" customWidth="1"/>
    <col min="54" max="59" width="5" hidden="1" customWidth="1"/>
    <col min="60" max="60" width="6.109375" hidden="1" customWidth="1"/>
    <col min="61" max="61" width="5" hidden="1" customWidth="1"/>
    <col min="62" max="66" width="5" bestFit="1" customWidth="1"/>
    <col min="67" max="72" width="5" hidden="1" customWidth="1"/>
    <col min="73" max="73" width="6.109375" hidden="1" customWidth="1"/>
    <col min="74" max="74" width="5" hidden="1" customWidth="1"/>
    <col min="75" max="80" width="5" bestFit="1" customWidth="1"/>
  </cols>
  <sheetData>
    <row r="1" spans="1:96" ht="17.399999999999999">
      <c r="A1" s="307" t="s">
        <v>3</v>
      </c>
    </row>
    <row r="3" spans="1:96">
      <c r="B3" s="341" t="s">
        <v>92</v>
      </c>
      <c r="C3" s="326"/>
      <c r="J3" s="261" t="s">
        <v>121</v>
      </c>
      <c r="K3" s="313"/>
      <c r="L3" s="313"/>
      <c r="M3" s="313"/>
      <c r="N3" s="314"/>
      <c r="O3" s="326" t="s">
        <v>93</v>
      </c>
      <c r="P3" s="326"/>
      <c r="Q3" s="274"/>
      <c r="R3" s="274"/>
      <c r="S3" s="274"/>
      <c r="T3" s="274"/>
      <c r="U3" s="274"/>
      <c r="W3" s="261" t="s">
        <v>93</v>
      </c>
      <c r="X3" s="315"/>
      <c r="Y3" s="315"/>
      <c r="Z3" s="315"/>
      <c r="AA3" s="315"/>
      <c r="AB3" s="326"/>
      <c r="AC3" s="326"/>
      <c r="AD3" s="274"/>
      <c r="AE3" s="274"/>
      <c r="AF3" s="274"/>
      <c r="AG3" s="274"/>
      <c r="AH3" s="274"/>
      <c r="AJ3" s="318" t="s">
        <v>94</v>
      </c>
      <c r="AK3" s="315"/>
      <c r="AL3" s="315"/>
      <c r="AM3" s="315"/>
      <c r="AN3" s="317"/>
      <c r="AO3" s="326"/>
      <c r="AP3" s="326"/>
      <c r="AQ3" s="254"/>
      <c r="AR3" s="254"/>
      <c r="AS3" s="254"/>
      <c r="AT3" s="254"/>
      <c r="AU3" s="254"/>
      <c r="AW3" s="315" t="s">
        <v>95</v>
      </c>
      <c r="AX3" s="315"/>
      <c r="AY3" s="315"/>
      <c r="AZ3" s="315"/>
      <c r="BA3" s="315"/>
      <c r="BB3" s="326"/>
      <c r="BC3" s="326"/>
      <c r="BD3" s="254"/>
      <c r="BE3" s="254"/>
      <c r="BF3" s="254"/>
      <c r="BG3" s="254"/>
      <c r="BH3" s="254"/>
      <c r="BJ3" s="316" t="s">
        <v>116</v>
      </c>
      <c r="BK3" s="315"/>
      <c r="BL3" s="315"/>
      <c r="BM3" s="317"/>
      <c r="BN3" s="317"/>
      <c r="BO3" s="326"/>
      <c r="BP3" s="326"/>
      <c r="BQ3" s="274"/>
      <c r="BR3" s="274"/>
      <c r="BS3" s="274"/>
      <c r="BT3" s="274"/>
      <c r="BU3" s="274"/>
      <c r="BW3" s="315" t="s">
        <v>13</v>
      </c>
      <c r="BX3" s="315"/>
      <c r="BY3" s="315"/>
      <c r="BZ3" s="315"/>
      <c r="CA3" s="315"/>
    </row>
    <row r="4" spans="1:96" s="246" customFormat="1" ht="12.75" customHeight="1">
      <c r="A4" s="240"/>
      <c r="B4" s="303">
        <v>2009</v>
      </c>
      <c r="C4" s="244">
        <v>2010</v>
      </c>
      <c r="D4" s="244">
        <v>2011</v>
      </c>
      <c r="E4" s="244">
        <v>2012</v>
      </c>
      <c r="F4" s="242">
        <v>2013</v>
      </c>
      <c r="G4" s="242" t="s">
        <v>90</v>
      </c>
      <c r="H4" s="242">
        <v>2015</v>
      </c>
      <c r="I4" s="242">
        <v>2016</v>
      </c>
      <c r="J4" s="242">
        <v>2017</v>
      </c>
      <c r="K4" s="242">
        <v>2018</v>
      </c>
      <c r="L4" s="242">
        <v>2019</v>
      </c>
      <c r="M4" s="310">
        <v>2020</v>
      </c>
      <c r="N4" s="310">
        <v>2021</v>
      </c>
      <c r="O4" s="244">
        <v>2009</v>
      </c>
      <c r="P4" s="244">
        <v>2010</v>
      </c>
      <c r="Q4" s="244">
        <v>2011</v>
      </c>
      <c r="R4" s="244">
        <v>2012</v>
      </c>
      <c r="S4" s="242">
        <v>2013</v>
      </c>
      <c r="T4" s="242" t="s">
        <v>90</v>
      </c>
      <c r="U4" s="242">
        <v>2015</v>
      </c>
      <c r="V4" s="242">
        <v>2016</v>
      </c>
      <c r="W4" s="242">
        <v>2017</v>
      </c>
      <c r="X4" s="242">
        <v>2018</v>
      </c>
      <c r="Y4" s="242">
        <v>2019</v>
      </c>
      <c r="Z4" s="242">
        <v>2020</v>
      </c>
      <c r="AA4" s="242">
        <v>2021</v>
      </c>
      <c r="AB4" s="303">
        <v>2009</v>
      </c>
      <c r="AC4" s="244">
        <v>2010</v>
      </c>
      <c r="AD4" s="244">
        <v>2011</v>
      </c>
      <c r="AE4" s="244">
        <v>2012</v>
      </c>
      <c r="AF4" s="242">
        <v>2013</v>
      </c>
      <c r="AG4" s="242" t="s">
        <v>90</v>
      </c>
      <c r="AH4" s="242">
        <v>2015</v>
      </c>
      <c r="AI4" s="309">
        <v>2016</v>
      </c>
      <c r="AJ4" s="242">
        <v>2017</v>
      </c>
      <c r="AK4" s="242">
        <v>2018</v>
      </c>
      <c r="AL4" s="242">
        <v>2019</v>
      </c>
      <c r="AM4" s="310">
        <v>2020</v>
      </c>
      <c r="AN4" s="310">
        <v>2021</v>
      </c>
      <c r="AO4" s="244">
        <v>2009</v>
      </c>
      <c r="AP4" s="244">
        <v>2010</v>
      </c>
      <c r="AQ4" s="244">
        <v>2011</v>
      </c>
      <c r="AR4" s="244">
        <v>2012</v>
      </c>
      <c r="AS4" s="242">
        <v>2013</v>
      </c>
      <c r="AT4" s="242" t="s">
        <v>90</v>
      </c>
      <c r="AU4" s="242">
        <v>2015</v>
      </c>
      <c r="AV4" s="242">
        <v>2016</v>
      </c>
      <c r="AW4" s="242">
        <v>2017</v>
      </c>
      <c r="AX4" s="242">
        <v>2018</v>
      </c>
      <c r="AY4" s="242">
        <v>2019</v>
      </c>
      <c r="AZ4" s="242">
        <v>2020</v>
      </c>
      <c r="BA4" s="242">
        <v>2021</v>
      </c>
      <c r="BB4" s="303">
        <v>2009</v>
      </c>
      <c r="BC4" s="244">
        <v>2010</v>
      </c>
      <c r="BD4" s="244">
        <v>2011</v>
      </c>
      <c r="BE4" s="244">
        <v>2012</v>
      </c>
      <c r="BF4" s="242">
        <v>2013</v>
      </c>
      <c r="BG4" s="242" t="s">
        <v>90</v>
      </c>
      <c r="BH4" s="242">
        <v>2015</v>
      </c>
      <c r="BI4" s="309">
        <v>2016</v>
      </c>
      <c r="BJ4" s="242">
        <v>2017</v>
      </c>
      <c r="BK4" s="242">
        <v>2018</v>
      </c>
      <c r="BL4" s="242">
        <v>2019</v>
      </c>
      <c r="BM4" s="310">
        <v>2020</v>
      </c>
      <c r="BN4" s="310">
        <v>2021</v>
      </c>
      <c r="BO4" s="244">
        <v>2009</v>
      </c>
      <c r="BP4" s="244">
        <v>2010</v>
      </c>
      <c r="BQ4" s="244">
        <v>2011</v>
      </c>
      <c r="BR4" s="244">
        <v>2012</v>
      </c>
      <c r="BS4" s="242">
        <v>2013</v>
      </c>
      <c r="BT4" s="242" t="s">
        <v>90</v>
      </c>
      <c r="BU4" s="242">
        <v>2015</v>
      </c>
      <c r="BV4" s="242">
        <v>2016</v>
      </c>
      <c r="BW4" s="242">
        <v>2017</v>
      </c>
      <c r="BX4" s="242">
        <v>2018</v>
      </c>
      <c r="BY4" s="242">
        <v>2019</v>
      </c>
      <c r="BZ4" s="242">
        <v>2020</v>
      </c>
      <c r="CA4" s="242">
        <v>2021</v>
      </c>
      <c r="CB4"/>
      <c r="CC4"/>
      <c r="CD4"/>
      <c r="CE4"/>
      <c r="CF4"/>
      <c r="CG4"/>
      <c r="CH4"/>
      <c r="CI4"/>
      <c r="CJ4"/>
      <c r="CK4"/>
      <c r="CL4"/>
      <c r="CM4"/>
      <c r="CN4"/>
      <c r="CO4"/>
      <c r="CP4"/>
      <c r="CQ4"/>
    </row>
    <row r="5" spans="1:96" s="276" customFormat="1" ht="12.9" customHeight="1">
      <c r="A5" s="308" t="s">
        <v>117</v>
      </c>
      <c r="B5" s="304">
        <v>9.3000000000000007</v>
      </c>
      <c r="C5" s="274">
        <v>9.3000000000000007</v>
      </c>
      <c r="D5" s="274">
        <v>9.1999999999999993</v>
      </c>
      <c r="E5" s="274">
        <v>10</v>
      </c>
      <c r="F5" s="274">
        <v>10.8</v>
      </c>
      <c r="G5" s="274">
        <v>11.1</v>
      </c>
      <c r="H5" s="274">
        <v>9.8000000000000007</v>
      </c>
      <c r="I5" s="274">
        <v>10.6</v>
      </c>
      <c r="J5" s="274">
        <v>9.1999999999999993</v>
      </c>
      <c r="K5" s="274">
        <v>9.1</v>
      </c>
      <c r="L5" s="274">
        <v>8.6</v>
      </c>
      <c r="M5" s="311">
        <v>7.1</v>
      </c>
      <c r="N5" s="311">
        <v>7.5</v>
      </c>
      <c r="O5" s="274">
        <v>22.8</v>
      </c>
      <c r="P5" s="274">
        <v>21.7</v>
      </c>
      <c r="Q5" s="274">
        <v>20.7</v>
      </c>
      <c r="R5" s="274">
        <v>17.3</v>
      </c>
      <c r="S5" s="274">
        <v>20</v>
      </c>
      <c r="T5" s="274">
        <v>24.3</v>
      </c>
      <c r="U5" s="274">
        <v>21.8</v>
      </c>
      <c r="V5" s="274">
        <v>19.7</v>
      </c>
      <c r="W5" s="274">
        <v>19.899999999999999</v>
      </c>
      <c r="X5" s="274">
        <v>17.600000000000001</v>
      </c>
      <c r="Y5" s="274">
        <v>15.3</v>
      </c>
      <c r="Z5" s="274">
        <v>21.1</v>
      </c>
      <c r="AA5" s="274">
        <v>17.8</v>
      </c>
      <c r="AB5" s="304">
        <v>8.6999999999999993</v>
      </c>
      <c r="AC5" s="274">
        <v>9.1</v>
      </c>
      <c r="AD5" s="274">
        <v>8.3000000000000007</v>
      </c>
      <c r="AE5" s="274">
        <v>8.1</v>
      </c>
      <c r="AF5" s="274">
        <v>9</v>
      </c>
      <c r="AG5" s="274">
        <v>10.5</v>
      </c>
      <c r="AH5" s="274">
        <v>9.6999999999999993</v>
      </c>
      <c r="AI5" s="304">
        <v>8.5</v>
      </c>
      <c r="AJ5" s="274">
        <v>9.6999999999999993</v>
      </c>
      <c r="AK5" s="274">
        <v>9.1</v>
      </c>
      <c r="AL5" s="274">
        <v>9</v>
      </c>
      <c r="AM5" s="311">
        <v>7.7</v>
      </c>
      <c r="AN5" s="311">
        <v>9.1999999999999993</v>
      </c>
      <c r="AO5" s="274">
        <v>12.9</v>
      </c>
      <c r="AP5" s="274">
        <v>13.2</v>
      </c>
      <c r="AQ5" s="274">
        <v>13.2</v>
      </c>
      <c r="AR5" s="274">
        <v>14.1</v>
      </c>
      <c r="AS5" s="274">
        <v>14.6</v>
      </c>
      <c r="AT5" s="274">
        <v>16.600000000000001</v>
      </c>
      <c r="AU5" s="274">
        <v>16.5</v>
      </c>
      <c r="AV5" s="274">
        <v>15.9</v>
      </c>
      <c r="AW5" s="274">
        <v>17.2</v>
      </c>
      <c r="AX5" s="274">
        <v>15.6</v>
      </c>
      <c r="AY5" s="274">
        <v>13.4</v>
      </c>
      <c r="AZ5" s="274">
        <v>10.6</v>
      </c>
      <c r="BA5" s="274">
        <v>11.5</v>
      </c>
      <c r="BB5" s="304">
        <v>10.3</v>
      </c>
      <c r="BC5" s="274">
        <v>10.3</v>
      </c>
      <c r="BD5" s="274">
        <v>10.1</v>
      </c>
      <c r="BE5" s="274">
        <v>9.3000000000000007</v>
      </c>
      <c r="BF5" s="274">
        <v>9.4</v>
      </c>
      <c r="BG5" s="274">
        <v>10.9</v>
      </c>
      <c r="BH5" s="274">
        <v>8.4</v>
      </c>
      <c r="BI5" s="304">
        <v>8.5</v>
      </c>
      <c r="BJ5" s="274">
        <v>7.8</v>
      </c>
      <c r="BK5" s="274">
        <v>8.3000000000000007</v>
      </c>
      <c r="BL5" s="274">
        <v>7.9</v>
      </c>
      <c r="BM5" s="311">
        <v>7.9</v>
      </c>
      <c r="BN5" s="311">
        <v>8.1999999999999993</v>
      </c>
      <c r="BO5" s="274">
        <v>12.8</v>
      </c>
      <c r="BP5" s="274">
        <v>13</v>
      </c>
      <c r="BQ5" s="274">
        <v>12.7</v>
      </c>
      <c r="BR5" s="274">
        <v>11.8</v>
      </c>
      <c r="BS5" s="274">
        <v>12.4</v>
      </c>
      <c r="BT5" s="274">
        <v>13.8</v>
      </c>
      <c r="BU5" s="274">
        <v>14.5</v>
      </c>
      <c r="BV5" s="274">
        <v>13.8</v>
      </c>
      <c r="BW5" s="274">
        <v>14.8</v>
      </c>
      <c r="BX5" s="274">
        <v>14.1</v>
      </c>
      <c r="BY5" s="274">
        <v>14.3</v>
      </c>
      <c r="BZ5" s="274">
        <v>12.4</v>
      </c>
      <c r="CA5" s="274">
        <v>14</v>
      </c>
      <c r="CB5" s="275"/>
      <c r="CC5" s="275"/>
      <c r="CD5" s="275"/>
      <c r="CE5" s="275"/>
      <c r="CF5" s="275"/>
      <c r="CG5" s="275"/>
      <c r="CH5" s="275"/>
      <c r="CI5" s="275"/>
      <c r="CJ5" s="275"/>
      <c r="CK5" s="275"/>
      <c r="CL5" s="275"/>
      <c r="CM5" s="275"/>
      <c r="CN5" s="275"/>
      <c r="CO5" s="275"/>
      <c r="CP5" s="275"/>
      <c r="CQ5" s="275"/>
    </row>
    <row r="6" spans="1:96" s="276" customFormat="1" ht="12.9" customHeight="1">
      <c r="A6" s="273" t="s">
        <v>118</v>
      </c>
      <c r="B6" s="305"/>
      <c r="C6" s="274"/>
      <c r="D6" s="274"/>
      <c r="E6" s="274"/>
      <c r="F6" s="274">
        <f>AVERAGE(B5:F5)</f>
        <v>9.7199999999999989</v>
      </c>
      <c r="G6" s="274">
        <f t="shared" ref="G6:L6" si="0">AVERAGE(C5:G5)</f>
        <v>10.08</v>
      </c>
      <c r="H6" s="274">
        <f t="shared" si="0"/>
        <v>10.180000000000001</v>
      </c>
      <c r="I6" s="274">
        <f t="shared" si="0"/>
        <v>10.46</v>
      </c>
      <c r="J6" s="274">
        <f t="shared" si="0"/>
        <v>10.3</v>
      </c>
      <c r="K6" s="274">
        <f t="shared" si="0"/>
        <v>9.9600000000000009</v>
      </c>
      <c r="L6" s="274">
        <f t="shared" si="0"/>
        <v>9.4599999999999991</v>
      </c>
      <c r="M6" s="311">
        <f>AVERAGE(I5:M5)</f>
        <v>8.92</v>
      </c>
      <c r="N6" s="311">
        <f>AVERAGE(J5:N5)</f>
        <v>8.3000000000000007</v>
      </c>
      <c r="O6" s="274"/>
      <c r="P6" s="302"/>
      <c r="Q6" s="283"/>
      <c r="R6" s="275"/>
      <c r="S6" s="274">
        <f>AVERAGE(O5:S5)</f>
        <v>20.5</v>
      </c>
      <c r="T6" s="274">
        <f t="shared" ref="T6:Y6" si="1">AVERAGE(P5:T5)</f>
        <v>20.8</v>
      </c>
      <c r="U6" s="274">
        <f t="shared" si="1"/>
        <v>20.82</v>
      </c>
      <c r="V6" s="274">
        <f t="shared" si="1"/>
        <v>20.619999999999997</v>
      </c>
      <c r="W6" s="274">
        <f t="shared" si="1"/>
        <v>21.139999999999997</v>
      </c>
      <c r="X6" s="274">
        <f t="shared" si="1"/>
        <v>20.659999999999997</v>
      </c>
      <c r="Y6" s="274">
        <f t="shared" si="1"/>
        <v>18.86</v>
      </c>
      <c r="Z6" s="274">
        <f>AVERAGE(V5:Z5)</f>
        <v>18.72</v>
      </c>
      <c r="AA6" s="274">
        <f>AVERAGE(W5:AA5)</f>
        <v>18.34</v>
      </c>
      <c r="AB6" s="306"/>
      <c r="AC6" s="302"/>
      <c r="AD6" s="275"/>
      <c r="AE6" s="275"/>
      <c r="AF6" s="274">
        <f>AVERAGE(AB5:AF5)</f>
        <v>8.6399999999999988</v>
      </c>
      <c r="AG6" s="274">
        <f t="shared" ref="AG6:AL6" si="2">AVERAGE(AC5:AG5)</f>
        <v>9</v>
      </c>
      <c r="AH6" s="274">
        <f t="shared" si="2"/>
        <v>9.1199999999999992</v>
      </c>
      <c r="AI6" s="304">
        <f t="shared" si="2"/>
        <v>9.16</v>
      </c>
      <c r="AJ6" s="274">
        <f t="shared" si="2"/>
        <v>9.48</v>
      </c>
      <c r="AK6" s="274">
        <f t="shared" si="2"/>
        <v>9.5</v>
      </c>
      <c r="AL6" s="274">
        <f t="shared" si="2"/>
        <v>9.1999999999999993</v>
      </c>
      <c r="AM6" s="311">
        <f>AVERAGE(AI5:AM5)</f>
        <v>8.8000000000000007</v>
      </c>
      <c r="AN6" s="311">
        <f>AVERAGE(AJ5:AN5)</f>
        <v>8.9400000000000013</v>
      </c>
      <c r="AO6" s="302"/>
      <c r="AP6" s="302"/>
      <c r="AQ6" s="275"/>
      <c r="AR6" s="275"/>
      <c r="AS6" s="274">
        <f>AVERAGE(AO5:AS5)</f>
        <v>13.6</v>
      </c>
      <c r="AT6" s="274">
        <f t="shared" ref="AT6:AY6" si="3">AVERAGE(AP5:AT5)</f>
        <v>14.34</v>
      </c>
      <c r="AU6" s="274">
        <f t="shared" si="3"/>
        <v>15</v>
      </c>
      <c r="AV6" s="274">
        <f t="shared" si="3"/>
        <v>15.540000000000001</v>
      </c>
      <c r="AW6" s="274">
        <f t="shared" si="3"/>
        <v>16.16</v>
      </c>
      <c r="AX6" s="274">
        <f t="shared" si="3"/>
        <v>16.36</v>
      </c>
      <c r="AY6" s="274">
        <f t="shared" si="3"/>
        <v>15.719999999999999</v>
      </c>
      <c r="AZ6" s="274">
        <f>AVERAGE(AV5:AZ5)</f>
        <v>14.540000000000001</v>
      </c>
      <c r="BA6" s="274">
        <f>AVERAGE(AW5:BA5)</f>
        <v>13.66</v>
      </c>
      <c r="BB6" s="306"/>
      <c r="BC6" s="302"/>
      <c r="BD6" s="275"/>
      <c r="BE6" s="275"/>
      <c r="BF6" s="274">
        <f>AVERAGE(BB5:BF5)</f>
        <v>9.879999999999999</v>
      </c>
      <c r="BG6" s="274">
        <f t="shared" ref="BG6:BL6" si="4">AVERAGE(BC5:BG5)</f>
        <v>10</v>
      </c>
      <c r="BH6" s="274">
        <f t="shared" si="4"/>
        <v>9.6199999999999992</v>
      </c>
      <c r="BI6" s="304">
        <f t="shared" si="4"/>
        <v>9.3000000000000007</v>
      </c>
      <c r="BJ6" s="274">
        <f t="shared" si="4"/>
        <v>9</v>
      </c>
      <c r="BK6" s="274">
        <f t="shared" si="4"/>
        <v>8.7800000000000011</v>
      </c>
      <c r="BL6" s="274">
        <f t="shared" si="4"/>
        <v>8.18</v>
      </c>
      <c r="BM6" s="311">
        <f>AVERAGE(BI5:BM5)</f>
        <v>8.08</v>
      </c>
      <c r="BN6" s="311">
        <f>AVERAGE(BJ5:BN5)</f>
        <v>8.02</v>
      </c>
      <c r="BO6" s="302"/>
      <c r="BP6" s="302"/>
      <c r="BQ6" s="275"/>
      <c r="BR6" s="275"/>
      <c r="BS6" s="274">
        <f>AVERAGE(BO5:BS5)</f>
        <v>12.54</v>
      </c>
      <c r="BT6" s="274">
        <f>AVERAGE(BP5:BT5)</f>
        <v>12.74</v>
      </c>
      <c r="BU6" s="274">
        <f t="shared" ref="BU6:BY6" si="5">AVERAGE(BQ5:BU5)</f>
        <v>13.040000000000001</v>
      </c>
      <c r="BV6" s="274">
        <f t="shared" si="5"/>
        <v>13.26</v>
      </c>
      <c r="BW6" s="274">
        <f t="shared" si="5"/>
        <v>13.86</v>
      </c>
      <c r="BX6" s="274">
        <f t="shared" si="5"/>
        <v>14.2</v>
      </c>
      <c r="BY6" s="274">
        <f t="shared" si="5"/>
        <v>14.3</v>
      </c>
      <c r="BZ6" s="274">
        <f>AVERAGE(BV5:BZ5)</f>
        <v>13.88</v>
      </c>
      <c r="CA6" s="274">
        <f>AVERAGE(BW5:CA5)</f>
        <v>13.919999999999998</v>
      </c>
      <c r="CB6" s="275"/>
      <c r="CC6" s="275"/>
      <c r="CD6" s="275"/>
      <c r="CE6" s="275"/>
      <c r="CF6" s="275"/>
      <c r="CG6" s="275"/>
      <c r="CH6" s="275"/>
      <c r="CI6" s="275"/>
      <c r="CJ6" s="275"/>
      <c r="CK6" s="275"/>
      <c r="CL6" s="275"/>
      <c r="CM6" s="275"/>
      <c r="CN6" s="275"/>
      <c r="CO6" s="275"/>
      <c r="CP6" s="275"/>
      <c r="CQ6" s="275"/>
      <c r="CR6" s="275"/>
    </row>
  </sheetData>
  <mergeCells count="6">
    <mergeCell ref="B3:C3"/>
    <mergeCell ref="BO3:BP3"/>
    <mergeCell ref="O3:P3"/>
    <mergeCell ref="AB3:AC3"/>
    <mergeCell ref="AO3:AP3"/>
    <mergeCell ref="BB3:BC3"/>
  </mergeCells>
  <pageMargins left="0.7" right="0.7" top="0.75" bottom="0.75" header="0.3" footer="0.3"/>
  <pageSetup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showGridLines="0" topLeftCell="AD20" zoomScale="90" zoomScaleNormal="165" zoomScaleSheetLayoutView="90" workbookViewId="0">
      <selection activeCell="N16" sqref="N16"/>
    </sheetView>
  </sheetViews>
  <sheetFormatPr defaultColWidth="11.44140625" defaultRowHeight="12.75" customHeight="1"/>
  <cols>
    <col min="1" max="1" width="11.6640625" style="5" customWidth="1"/>
    <col min="2" max="6" width="12.33203125" style="11" customWidth="1"/>
    <col min="7" max="7" width="8.44140625" bestFit="1" customWidth="1"/>
    <col min="8" max="8" width="10.109375" bestFit="1" customWidth="1"/>
    <col min="9" max="9" width="9.109375" bestFit="1" customWidth="1"/>
    <col min="12" max="12" width="11.6640625" style="5" customWidth="1"/>
    <col min="13" max="24" width="12.33203125" style="11" customWidth="1"/>
    <col min="27" max="27" width="11.6640625" style="5" customWidth="1"/>
    <col min="28" max="32" width="12.33203125" style="11" customWidth="1"/>
  </cols>
  <sheetData>
    <row r="1" spans="1:32" ht="15" customHeight="1">
      <c r="A1" s="4" t="s">
        <v>0</v>
      </c>
      <c r="B1" s="7"/>
      <c r="C1" s="7"/>
      <c r="D1" s="7"/>
      <c r="E1" s="7"/>
      <c r="F1" s="7"/>
      <c r="G1" s="2"/>
      <c r="L1" s="4" t="s">
        <v>0</v>
      </c>
      <c r="M1" s="7"/>
      <c r="N1" s="7"/>
      <c r="O1" s="7"/>
      <c r="P1" s="7"/>
      <c r="Q1" s="7"/>
      <c r="R1" s="7"/>
      <c r="S1" s="7"/>
      <c r="T1" s="7"/>
      <c r="U1" s="7"/>
      <c r="V1" s="7"/>
      <c r="W1" s="7"/>
      <c r="X1" s="7"/>
      <c r="AA1" s="4" t="s">
        <v>0</v>
      </c>
      <c r="AB1" s="7"/>
      <c r="AC1" s="7"/>
      <c r="AD1" s="7"/>
      <c r="AE1" s="7"/>
      <c r="AF1" s="7"/>
    </row>
    <row r="2" spans="1:32" ht="17.25" customHeight="1">
      <c r="A2" s="21" t="s">
        <v>20</v>
      </c>
      <c r="B2" s="8"/>
      <c r="C2" s="8"/>
      <c r="D2" s="8"/>
      <c r="E2" s="8"/>
      <c r="F2" s="8"/>
      <c r="L2" s="21" t="s">
        <v>20</v>
      </c>
      <c r="M2" s="8"/>
      <c r="N2" s="8"/>
      <c r="O2" s="8"/>
      <c r="P2" s="8"/>
      <c r="Q2" s="8"/>
      <c r="R2" s="8"/>
      <c r="S2" s="8"/>
      <c r="T2" s="8"/>
      <c r="U2" s="8"/>
      <c r="V2" s="8"/>
      <c r="W2" s="8"/>
      <c r="X2" s="8"/>
      <c r="AA2" s="21" t="s">
        <v>20</v>
      </c>
      <c r="AB2" s="8"/>
      <c r="AC2" s="8"/>
      <c r="AD2" s="8"/>
      <c r="AE2" s="8"/>
      <c r="AF2" s="8"/>
    </row>
    <row r="3" spans="1:32" ht="12" customHeight="1">
      <c r="A3" s="23" t="s">
        <v>19</v>
      </c>
      <c r="B3" s="9"/>
      <c r="C3" s="9"/>
      <c r="D3" s="9"/>
      <c r="E3" s="9"/>
      <c r="F3" s="9"/>
      <c r="L3" s="23" t="s">
        <v>19</v>
      </c>
      <c r="M3" s="9"/>
      <c r="N3" s="9"/>
      <c r="O3" s="9"/>
      <c r="P3" s="9"/>
      <c r="Q3" s="9"/>
      <c r="R3" s="9"/>
      <c r="S3" s="9"/>
      <c r="T3" s="9"/>
      <c r="U3" s="9"/>
      <c r="V3" s="9"/>
      <c r="W3" s="9"/>
      <c r="X3" s="9"/>
      <c r="AA3" s="23" t="s">
        <v>19</v>
      </c>
      <c r="AB3" s="9"/>
      <c r="AC3" s="9"/>
      <c r="AD3" s="9"/>
      <c r="AE3" s="9"/>
      <c r="AF3" s="9"/>
    </row>
    <row r="4" spans="1:32" ht="24.75" customHeight="1">
      <c r="A4" s="23"/>
      <c r="B4" s="25"/>
      <c r="C4" s="25"/>
      <c r="D4" s="25"/>
      <c r="E4" s="25"/>
      <c r="F4" s="25"/>
      <c r="L4" s="23"/>
      <c r="M4" s="25"/>
      <c r="N4" s="25"/>
      <c r="O4" s="25"/>
      <c r="P4" s="25"/>
      <c r="Q4" s="25"/>
      <c r="R4" s="25"/>
      <c r="S4" s="25"/>
      <c r="T4" s="25"/>
      <c r="U4" s="25"/>
      <c r="V4" s="25"/>
      <c r="W4" s="25"/>
      <c r="X4" s="25"/>
      <c r="AA4" s="23"/>
      <c r="AB4" s="25"/>
      <c r="AC4" s="25"/>
      <c r="AD4" s="25"/>
      <c r="AE4" s="25"/>
      <c r="AF4" s="25"/>
    </row>
    <row r="5" spans="1:32" ht="13.2">
      <c r="A5" s="93" t="s">
        <v>1</v>
      </c>
      <c r="B5" s="111">
        <v>2008</v>
      </c>
      <c r="C5" s="111">
        <v>2009</v>
      </c>
      <c r="D5" s="111">
        <v>2010</v>
      </c>
      <c r="E5" s="111">
        <v>2011</v>
      </c>
      <c r="F5" s="111">
        <v>2012</v>
      </c>
      <c r="G5" s="94"/>
      <c r="L5" s="93" t="s">
        <v>1</v>
      </c>
      <c r="M5" s="111">
        <v>2008</v>
      </c>
      <c r="N5" s="111">
        <v>2009</v>
      </c>
      <c r="O5" s="111">
        <v>2010</v>
      </c>
      <c r="P5" s="111">
        <v>2011</v>
      </c>
      <c r="Q5" s="111">
        <v>2012</v>
      </c>
      <c r="R5" s="159"/>
      <c r="S5" s="159"/>
      <c r="T5" s="159"/>
      <c r="U5" s="159"/>
      <c r="V5" s="159"/>
      <c r="W5" s="159"/>
      <c r="X5" s="159"/>
      <c r="AA5" s="93" t="s">
        <v>1</v>
      </c>
      <c r="AB5" s="111">
        <v>2008</v>
      </c>
      <c r="AC5" s="111">
        <v>2009</v>
      </c>
      <c r="AD5" s="111">
        <v>2010</v>
      </c>
      <c r="AE5" s="111">
        <v>2011</v>
      </c>
      <c r="AF5" s="111">
        <v>2012</v>
      </c>
    </row>
    <row r="6" spans="1:32" ht="17.25" customHeight="1">
      <c r="A6" s="95" t="s">
        <v>32</v>
      </c>
      <c r="B6" s="96">
        <v>26.7</v>
      </c>
      <c r="C6" s="96">
        <v>27.7</v>
      </c>
      <c r="D6" s="96">
        <v>30</v>
      </c>
      <c r="E6" s="96">
        <v>29.6</v>
      </c>
      <c r="F6" s="96">
        <v>31.4</v>
      </c>
      <c r="G6" s="97"/>
      <c r="L6" s="98" t="s">
        <v>33</v>
      </c>
      <c r="M6" s="99">
        <v>31.8</v>
      </c>
      <c r="N6" s="99">
        <v>32.9</v>
      </c>
      <c r="O6" s="99">
        <v>35.6</v>
      </c>
      <c r="P6" s="99">
        <v>35</v>
      </c>
      <c r="Q6" s="99">
        <v>36.5</v>
      </c>
      <c r="R6" s="99"/>
      <c r="S6" s="99"/>
      <c r="T6" s="99"/>
      <c r="U6" s="99"/>
      <c r="V6" s="99"/>
      <c r="W6" s="99"/>
      <c r="X6" s="99"/>
      <c r="AA6" s="95" t="s">
        <v>32</v>
      </c>
      <c r="AB6" s="96">
        <v>26.7</v>
      </c>
      <c r="AC6" s="96">
        <v>27.7</v>
      </c>
      <c r="AD6" s="96">
        <v>30</v>
      </c>
      <c r="AE6" s="96">
        <v>29.6</v>
      </c>
      <c r="AF6" s="96">
        <v>31.4</v>
      </c>
    </row>
    <row r="7" spans="1:32" ht="17.25" customHeight="1">
      <c r="A7" s="102" t="s">
        <v>35</v>
      </c>
      <c r="B7" s="103">
        <v>59.2</v>
      </c>
      <c r="C7" s="103">
        <v>55.2</v>
      </c>
      <c r="D7" s="103">
        <v>50.6</v>
      </c>
      <c r="E7" s="103">
        <v>53</v>
      </c>
      <c r="F7" s="138">
        <v>51.7</v>
      </c>
      <c r="G7" s="97"/>
      <c r="L7" s="100" t="s">
        <v>34</v>
      </c>
      <c r="M7" s="101">
        <v>8.4</v>
      </c>
      <c r="N7" s="101">
        <v>9.3000000000000007</v>
      </c>
      <c r="O7" s="101">
        <v>9.3000000000000007</v>
      </c>
      <c r="P7" s="101">
        <v>9.1999999999999993</v>
      </c>
      <c r="Q7" s="101">
        <v>10</v>
      </c>
      <c r="R7" s="99"/>
      <c r="S7" s="99"/>
      <c r="T7" s="99"/>
      <c r="U7" s="99"/>
      <c r="V7" s="99"/>
      <c r="W7" s="99"/>
      <c r="X7" s="99"/>
      <c r="AA7" s="98" t="s">
        <v>33</v>
      </c>
      <c r="AB7" s="99">
        <v>31.8</v>
      </c>
      <c r="AC7" s="99">
        <v>32.9</v>
      </c>
      <c r="AD7" s="99">
        <v>35.6</v>
      </c>
      <c r="AE7" s="99">
        <v>35</v>
      </c>
      <c r="AF7" s="99">
        <v>36.5</v>
      </c>
    </row>
    <row r="8" spans="1:32" ht="17.25" customHeight="1">
      <c r="A8" s="102" t="s">
        <v>38</v>
      </c>
      <c r="B8" s="103">
        <v>23.6</v>
      </c>
      <c r="C8" s="103">
        <v>26.3</v>
      </c>
      <c r="D8" s="103">
        <v>26</v>
      </c>
      <c r="E8" s="103">
        <v>24.9</v>
      </c>
      <c r="F8" s="138">
        <v>24.1</v>
      </c>
      <c r="G8" s="97"/>
      <c r="L8" s="98" t="s">
        <v>36</v>
      </c>
      <c r="M8" s="99">
        <v>68.900000000000006</v>
      </c>
      <c r="N8" s="99">
        <v>63.7</v>
      </c>
      <c r="O8" s="99">
        <v>56.2</v>
      </c>
      <c r="P8" s="99">
        <v>59.1</v>
      </c>
      <c r="Q8" s="99">
        <v>57.8</v>
      </c>
      <c r="R8" s="99"/>
      <c r="S8" s="99"/>
      <c r="T8" s="99"/>
      <c r="U8" s="99"/>
      <c r="V8" s="99"/>
      <c r="W8" s="99"/>
      <c r="X8" s="99"/>
      <c r="AA8" s="100" t="s">
        <v>34</v>
      </c>
      <c r="AB8" s="101">
        <v>8.4</v>
      </c>
      <c r="AC8" s="101">
        <v>9.3000000000000007</v>
      </c>
      <c r="AD8" s="101">
        <v>9.3000000000000007</v>
      </c>
      <c r="AE8" s="101">
        <v>9.1999999999999993</v>
      </c>
      <c r="AF8" s="101">
        <v>10</v>
      </c>
    </row>
    <row r="9" spans="1:32" ht="17.25" customHeight="1">
      <c r="A9" s="102" t="s">
        <v>41</v>
      </c>
      <c r="B9" s="103">
        <v>27.4</v>
      </c>
      <c r="C9" s="103">
        <v>29.3</v>
      </c>
      <c r="D9" s="103">
        <v>30.7</v>
      </c>
      <c r="E9" s="103">
        <v>32</v>
      </c>
      <c r="F9" s="138">
        <v>32.700000000000003</v>
      </c>
      <c r="G9" s="97"/>
      <c r="L9" s="100" t="s">
        <v>37</v>
      </c>
      <c r="M9" s="101">
        <v>23.3</v>
      </c>
      <c r="N9" s="101">
        <v>22.8</v>
      </c>
      <c r="O9" s="101">
        <v>21.7</v>
      </c>
      <c r="P9" s="101">
        <v>20.7</v>
      </c>
      <c r="Q9" s="101">
        <v>17.3</v>
      </c>
      <c r="R9" s="99"/>
      <c r="S9" s="99"/>
      <c r="T9" s="99"/>
      <c r="U9" s="99"/>
      <c r="V9" s="99"/>
      <c r="W9" s="99"/>
      <c r="X9" s="99"/>
      <c r="AA9" s="102" t="s">
        <v>35</v>
      </c>
      <c r="AB9" s="103">
        <v>59.2</v>
      </c>
      <c r="AC9" s="103">
        <v>55.2</v>
      </c>
      <c r="AD9" s="103">
        <v>50.6</v>
      </c>
      <c r="AE9" s="103">
        <v>53</v>
      </c>
      <c r="AF9" s="138">
        <v>51.7</v>
      </c>
    </row>
    <row r="10" spans="1:32" ht="17.25" customHeight="1">
      <c r="A10" s="102" t="s">
        <v>44</v>
      </c>
      <c r="B10" s="103">
        <v>27.9</v>
      </c>
      <c r="C10" s="103">
        <v>27.5</v>
      </c>
      <c r="D10" s="103">
        <v>29.3</v>
      </c>
      <c r="E10" s="103">
        <v>32.9</v>
      </c>
      <c r="F10" s="138">
        <v>34.700000000000003</v>
      </c>
      <c r="G10" s="97"/>
      <c r="L10" s="98" t="s">
        <v>39</v>
      </c>
      <c r="M10" s="99">
        <v>27.4</v>
      </c>
      <c r="N10" s="99">
        <v>31</v>
      </c>
      <c r="O10" s="99">
        <v>30.7</v>
      </c>
      <c r="P10" s="99">
        <v>29.5</v>
      </c>
      <c r="Q10" s="99">
        <v>28.6</v>
      </c>
      <c r="R10" s="99"/>
      <c r="S10" s="99"/>
      <c r="T10" s="99"/>
      <c r="U10" s="99"/>
      <c r="V10" s="99"/>
      <c r="W10" s="99"/>
      <c r="X10" s="99"/>
      <c r="AA10" s="98" t="s">
        <v>36</v>
      </c>
      <c r="AB10" s="99">
        <v>68.900000000000006</v>
      </c>
      <c r="AC10" s="99">
        <v>63.7</v>
      </c>
      <c r="AD10" s="99">
        <v>56.2</v>
      </c>
      <c r="AE10" s="99">
        <v>59.1</v>
      </c>
      <c r="AF10" s="99">
        <v>57.8</v>
      </c>
    </row>
    <row r="11" spans="1:32" ht="17.25" customHeight="1">
      <c r="A11" s="156" t="s">
        <v>47</v>
      </c>
      <c r="B11" s="157">
        <v>33.299999999999997</v>
      </c>
      <c r="C11" s="157">
        <v>34.6</v>
      </c>
      <c r="D11" s="157">
        <v>33.9</v>
      </c>
      <c r="E11" s="157">
        <v>34.200000000000003</v>
      </c>
      <c r="F11" s="158">
        <v>33.5</v>
      </c>
      <c r="G11" s="97"/>
      <c r="L11" s="100" t="s">
        <v>40</v>
      </c>
      <c r="M11" s="101">
        <v>8.1</v>
      </c>
      <c r="N11" s="101">
        <v>8.6999999999999993</v>
      </c>
      <c r="O11" s="101">
        <v>9.1</v>
      </c>
      <c r="P11" s="101">
        <v>8.3000000000000007</v>
      </c>
      <c r="Q11" s="101">
        <v>8.1</v>
      </c>
      <c r="R11" s="99"/>
      <c r="S11" s="99"/>
      <c r="T11" s="99"/>
      <c r="U11" s="99"/>
      <c r="V11" s="99"/>
      <c r="W11" s="99"/>
      <c r="X11" s="99"/>
      <c r="AA11" s="100" t="s">
        <v>37</v>
      </c>
      <c r="AB11" s="101">
        <v>23.3</v>
      </c>
      <c r="AC11" s="101">
        <v>22.8</v>
      </c>
      <c r="AD11" s="101">
        <v>21.7</v>
      </c>
      <c r="AE11" s="101">
        <v>20.7</v>
      </c>
      <c r="AF11" s="101">
        <v>17.3</v>
      </c>
    </row>
    <row r="12" spans="1:32" ht="17.25" customHeight="1">
      <c r="A12" s="106" t="s">
        <v>50</v>
      </c>
      <c r="B12" s="103">
        <v>31.4</v>
      </c>
      <c r="C12" s="103">
        <v>32.6</v>
      </c>
      <c r="D12" s="103">
        <v>32.799999999999997</v>
      </c>
      <c r="E12" s="103">
        <v>33.6</v>
      </c>
      <c r="F12" s="103">
        <v>33.4</v>
      </c>
      <c r="G12" s="97"/>
      <c r="L12" s="98" t="s">
        <v>42</v>
      </c>
      <c r="M12" s="99">
        <v>30.8</v>
      </c>
      <c r="N12" s="99">
        <v>33.299999999999997</v>
      </c>
      <c r="O12" s="99">
        <v>34.9</v>
      </c>
      <c r="P12" s="99">
        <v>36.299999999999997</v>
      </c>
      <c r="Q12" s="99">
        <v>37</v>
      </c>
      <c r="R12" s="99"/>
      <c r="S12" s="99"/>
      <c r="T12" s="99"/>
      <c r="U12" s="99"/>
      <c r="V12" s="99"/>
      <c r="W12" s="99"/>
      <c r="X12" s="99"/>
      <c r="AA12" s="102" t="s">
        <v>38</v>
      </c>
      <c r="AB12" s="103">
        <v>23.6</v>
      </c>
      <c r="AC12" s="103">
        <v>26.3</v>
      </c>
      <c r="AD12" s="103">
        <v>26</v>
      </c>
      <c r="AE12" s="103">
        <v>24.9</v>
      </c>
      <c r="AF12" s="138">
        <v>24.1</v>
      </c>
    </row>
    <row r="13" spans="1:32" ht="17.25" customHeight="1">
      <c r="A13" s="30"/>
      <c r="B13" s="32"/>
      <c r="C13" s="32"/>
      <c r="D13" s="32"/>
      <c r="E13" s="32"/>
      <c r="F13" s="32"/>
      <c r="G13" s="97"/>
      <c r="L13" s="100" t="s">
        <v>43</v>
      </c>
      <c r="M13" s="101">
        <v>11.8</v>
      </c>
      <c r="N13" s="101">
        <v>12.9</v>
      </c>
      <c r="O13" s="101">
        <v>13.2</v>
      </c>
      <c r="P13" s="101">
        <v>13.2</v>
      </c>
      <c r="Q13" s="101">
        <v>14.1</v>
      </c>
      <c r="R13" s="99"/>
      <c r="S13" s="99"/>
      <c r="T13" s="99"/>
      <c r="U13" s="99"/>
      <c r="V13" s="99"/>
      <c r="W13" s="99"/>
      <c r="X13" s="99"/>
      <c r="AA13" s="98" t="s">
        <v>39</v>
      </c>
      <c r="AB13" s="99">
        <v>27.4</v>
      </c>
      <c r="AC13" s="99">
        <v>31</v>
      </c>
      <c r="AD13" s="99">
        <v>30.7</v>
      </c>
      <c r="AE13" s="99">
        <v>29.5</v>
      </c>
      <c r="AF13" s="99">
        <v>28.6</v>
      </c>
    </row>
    <row r="14" spans="1:32" ht="17.25" customHeight="1">
      <c r="A14" s="14"/>
      <c r="B14" s="17"/>
      <c r="C14" s="17"/>
      <c r="D14" s="17"/>
      <c r="E14" s="17"/>
      <c r="F14" s="17"/>
      <c r="G14" s="97"/>
      <c r="L14" s="98" t="s">
        <v>45</v>
      </c>
      <c r="M14" s="99">
        <v>33.799999999999997</v>
      </c>
      <c r="N14" s="99">
        <v>32.799999999999997</v>
      </c>
      <c r="O14" s="99">
        <v>35.299999999999997</v>
      </c>
      <c r="P14" s="99">
        <v>40.799999999999997</v>
      </c>
      <c r="Q14" s="99">
        <v>43.1</v>
      </c>
      <c r="R14" s="99"/>
      <c r="S14" s="99"/>
      <c r="T14" s="99"/>
      <c r="U14" s="99"/>
      <c r="V14" s="99"/>
      <c r="W14" s="99"/>
      <c r="X14" s="99"/>
      <c r="AA14" s="100" t="s">
        <v>40</v>
      </c>
      <c r="AB14" s="101">
        <v>8.1</v>
      </c>
      <c r="AC14" s="101">
        <v>8.6999999999999993</v>
      </c>
      <c r="AD14" s="101">
        <v>9.1</v>
      </c>
      <c r="AE14" s="101">
        <v>8.3000000000000007</v>
      </c>
      <c r="AF14" s="101">
        <v>8.1</v>
      </c>
    </row>
    <row r="15" spans="1:32" ht="17.25" customHeight="1">
      <c r="A15" s="18"/>
      <c r="B15" s="15"/>
      <c r="C15" s="15"/>
      <c r="D15" s="15"/>
      <c r="E15" s="15"/>
      <c r="F15" s="15"/>
      <c r="G15" s="97"/>
      <c r="L15" s="100" t="s">
        <v>46</v>
      </c>
      <c r="M15" s="101">
        <v>9.4</v>
      </c>
      <c r="N15" s="101">
        <v>10.3</v>
      </c>
      <c r="O15" s="101">
        <v>10.3</v>
      </c>
      <c r="P15" s="101">
        <v>10.1</v>
      </c>
      <c r="Q15" s="101">
        <v>9.3000000000000007</v>
      </c>
      <c r="R15" s="99"/>
      <c r="S15" s="99"/>
      <c r="T15" s="99"/>
      <c r="U15" s="99"/>
      <c r="V15" s="99"/>
      <c r="W15" s="99"/>
      <c r="X15" s="99"/>
      <c r="AA15" s="102" t="s">
        <v>41</v>
      </c>
      <c r="AB15" s="103">
        <v>27.4</v>
      </c>
      <c r="AC15" s="103">
        <v>29.3</v>
      </c>
      <c r="AD15" s="103">
        <v>30.7</v>
      </c>
      <c r="AE15" s="103">
        <v>32</v>
      </c>
      <c r="AF15" s="138">
        <v>32.700000000000003</v>
      </c>
    </row>
    <row r="16" spans="1:32" ht="17.25" customHeight="1">
      <c r="A16" s="18"/>
      <c r="B16" s="15"/>
      <c r="C16" s="15"/>
      <c r="D16" s="15"/>
      <c r="E16" s="15"/>
      <c r="F16" s="15"/>
      <c r="G16" s="97"/>
      <c r="L16" s="98" t="s">
        <v>48</v>
      </c>
      <c r="M16" s="99">
        <v>35.700000000000003</v>
      </c>
      <c r="N16" s="99">
        <v>36.9</v>
      </c>
      <c r="O16" s="99">
        <v>36</v>
      </c>
      <c r="P16" s="99">
        <v>36.4</v>
      </c>
      <c r="Q16" s="99">
        <v>35.700000000000003</v>
      </c>
      <c r="R16" s="99"/>
      <c r="S16" s="99"/>
      <c r="T16" s="99"/>
      <c r="U16" s="99"/>
      <c r="V16" s="99"/>
      <c r="W16" s="99"/>
      <c r="X16" s="99"/>
      <c r="AA16" s="98" t="s">
        <v>42</v>
      </c>
      <c r="AB16" s="99">
        <v>30.8</v>
      </c>
      <c r="AC16" s="99">
        <v>33.299999999999997</v>
      </c>
      <c r="AD16" s="99">
        <v>34.9</v>
      </c>
      <c r="AE16" s="99">
        <v>36.299999999999997</v>
      </c>
      <c r="AF16" s="99">
        <v>37</v>
      </c>
    </row>
    <row r="17" spans="1:43" ht="17.25" customHeight="1">
      <c r="A17" s="18"/>
      <c r="B17" s="15"/>
      <c r="C17" s="15"/>
      <c r="D17" s="15"/>
      <c r="E17" s="15"/>
      <c r="F17" s="15"/>
      <c r="G17" s="97"/>
      <c r="L17" s="104" t="s">
        <v>49</v>
      </c>
      <c r="M17" s="105">
        <v>12.1</v>
      </c>
      <c r="N17" s="105">
        <v>12.8</v>
      </c>
      <c r="O17" s="105">
        <v>13</v>
      </c>
      <c r="P17" s="105">
        <v>12.7</v>
      </c>
      <c r="Q17" s="105">
        <v>11.8</v>
      </c>
      <c r="R17" s="99"/>
      <c r="S17" s="99"/>
      <c r="T17" s="99"/>
      <c r="U17" s="99"/>
      <c r="V17" s="99"/>
      <c r="W17" s="99"/>
      <c r="X17" s="99"/>
      <c r="AA17" s="100" t="s">
        <v>43</v>
      </c>
      <c r="AB17" s="101">
        <v>11.8</v>
      </c>
      <c r="AC17" s="101">
        <v>12.9</v>
      </c>
      <c r="AD17" s="101">
        <v>13.2</v>
      </c>
      <c r="AE17" s="101">
        <v>13.2</v>
      </c>
      <c r="AF17" s="101">
        <v>14.1</v>
      </c>
    </row>
    <row r="18" spans="1:43" ht="17.25" customHeight="1">
      <c r="A18" s="18"/>
      <c r="B18" s="15"/>
      <c r="C18" s="15"/>
      <c r="D18" s="15"/>
      <c r="E18" s="15"/>
      <c r="F18" s="15"/>
      <c r="G18" s="97"/>
      <c r="L18" s="108" t="s">
        <v>51</v>
      </c>
      <c r="M18" s="99">
        <v>35.1</v>
      </c>
      <c r="N18" s="99">
        <v>36.299999999999997</v>
      </c>
      <c r="O18" s="99">
        <v>36.4</v>
      </c>
      <c r="P18" s="99">
        <v>37.4</v>
      </c>
      <c r="Q18" s="99">
        <v>37.200000000000003</v>
      </c>
      <c r="R18" s="99"/>
      <c r="S18" s="99"/>
      <c r="T18" s="99"/>
      <c r="U18" s="99"/>
      <c r="V18" s="99"/>
      <c r="W18" s="99"/>
      <c r="X18" s="99"/>
      <c r="AA18" s="102" t="s">
        <v>44</v>
      </c>
      <c r="AB18" s="103">
        <v>27.9</v>
      </c>
      <c r="AC18" s="103">
        <v>27.5</v>
      </c>
      <c r="AD18" s="103">
        <v>29.3</v>
      </c>
      <c r="AE18" s="103">
        <v>32.9</v>
      </c>
      <c r="AF18" s="138">
        <v>34.700000000000003</v>
      </c>
    </row>
    <row r="19" spans="1:43" ht="17.25" customHeight="1">
      <c r="A19" s="18"/>
      <c r="B19" s="15"/>
      <c r="C19" s="15"/>
      <c r="D19" s="15"/>
      <c r="E19" s="15"/>
      <c r="F19" s="15"/>
      <c r="G19" s="94"/>
      <c r="L19" s="108" t="s">
        <v>52</v>
      </c>
      <c r="M19" s="99">
        <v>11.1</v>
      </c>
      <c r="N19" s="99">
        <v>12</v>
      </c>
      <c r="O19" s="99">
        <v>12</v>
      </c>
      <c r="P19" s="99">
        <v>11.7</v>
      </c>
      <c r="Q19" s="99">
        <v>11.4</v>
      </c>
      <c r="R19" s="99"/>
      <c r="S19" s="99"/>
      <c r="T19" s="99"/>
      <c r="U19" s="99"/>
      <c r="V19" s="99"/>
      <c r="W19" s="99"/>
      <c r="X19" s="99"/>
      <c r="AA19" s="98" t="s">
        <v>45</v>
      </c>
      <c r="AB19" s="99">
        <v>33.799999999999997</v>
      </c>
      <c r="AC19" s="99">
        <v>32.799999999999997</v>
      </c>
      <c r="AD19" s="99">
        <v>35.299999999999997</v>
      </c>
      <c r="AE19" s="99">
        <v>40.799999999999997</v>
      </c>
      <c r="AF19" s="99">
        <v>43.1</v>
      </c>
    </row>
    <row r="20" spans="1:43" ht="17.25" customHeight="1">
      <c r="A20" s="18"/>
      <c r="B20" s="15"/>
      <c r="C20" s="15"/>
      <c r="D20" s="15"/>
      <c r="E20" s="15"/>
      <c r="F20" s="15"/>
      <c r="G20" s="94"/>
      <c r="L20" s="30"/>
      <c r="M20" s="32"/>
      <c r="N20" s="32"/>
      <c r="O20" s="32"/>
      <c r="P20" s="32"/>
      <c r="Q20" s="32"/>
      <c r="R20" s="32"/>
      <c r="S20" s="32"/>
      <c r="T20" s="32"/>
      <c r="U20" s="32"/>
      <c r="V20" s="32"/>
      <c r="W20" s="32"/>
      <c r="X20" s="32"/>
      <c r="AA20" s="100" t="s">
        <v>46</v>
      </c>
      <c r="AB20" s="101">
        <v>9.4</v>
      </c>
      <c r="AC20" s="101">
        <v>10.3</v>
      </c>
      <c r="AD20" s="101">
        <v>10.3</v>
      </c>
      <c r="AE20" s="101">
        <v>10.1</v>
      </c>
      <c r="AF20" s="101">
        <v>9.3000000000000007</v>
      </c>
    </row>
    <row r="21" spans="1:43" ht="17.25" customHeight="1">
      <c r="A21" s="18"/>
      <c r="B21" s="19"/>
      <c r="C21" s="19"/>
      <c r="D21" s="19"/>
      <c r="E21" s="19"/>
      <c r="F21" s="19"/>
      <c r="G21" s="94"/>
      <c r="L21" s="18"/>
      <c r="M21" s="15"/>
      <c r="N21" s="15"/>
      <c r="O21" s="15"/>
      <c r="P21" s="15"/>
      <c r="Q21" s="15"/>
      <c r="R21" s="15"/>
      <c r="S21" s="15"/>
      <c r="T21" s="15"/>
      <c r="U21" s="15"/>
      <c r="V21" s="15"/>
      <c r="W21" s="15"/>
      <c r="X21" s="15"/>
      <c r="AA21" s="102" t="s">
        <v>47</v>
      </c>
      <c r="AB21" s="103">
        <v>33.299999999999997</v>
      </c>
      <c r="AC21" s="103">
        <v>34.6</v>
      </c>
      <c r="AD21" s="103">
        <v>33.9</v>
      </c>
      <c r="AE21" s="103">
        <v>34.200000000000003</v>
      </c>
      <c r="AF21" s="138">
        <v>33.5</v>
      </c>
    </row>
    <row r="22" spans="1:43" ht="17.25" customHeight="1">
      <c r="L22" s="18"/>
      <c r="M22" s="15"/>
      <c r="N22" s="15"/>
      <c r="O22" s="15"/>
      <c r="P22" s="15"/>
      <c r="Q22" s="15"/>
      <c r="R22" s="15"/>
      <c r="S22" s="15"/>
      <c r="T22" s="15"/>
      <c r="U22" s="15"/>
      <c r="V22" s="15"/>
      <c r="W22" s="15"/>
      <c r="X22" s="15"/>
      <c r="AA22" s="98" t="s">
        <v>48</v>
      </c>
      <c r="AB22" s="99">
        <v>35.700000000000003</v>
      </c>
      <c r="AC22" s="99">
        <v>36.9</v>
      </c>
      <c r="AD22" s="99">
        <v>36</v>
      </c>
      <c r="AE22" s="99">
        <v>36.4</v>
      </c>
      <c r="AF22" s="99">
        <v>35.700000000000003</v>
      </c>
    </row>
    <row r="23" spans="1:43" ht="17.25" customHeight="1">
      <c r="G23" s="94"/>
      <c r="H23" s="94"/>
      <c r="I23" s="94"/>
      <c r="J23" s="94"/>
      <c r="L23" s="18"/>
      <c r="M23" s="15"/>
      <c r="N23" s="15"/>
      <c r="O23" s="15"/>
      <c r="P23" s="15"/>
      <c r="Q23" s="15"/>
      <c r="R23" s="15"/>
      <c r="S23" s="15"/>
      <c r="T23" s="15"/>
      <c r="U23" s="15"/>
      <c r="V23" s="15"/>
      <c r="W23" s="15"/>
      <c r="X23" s="15"/>
      <c r="AA23" s="104" t="s">
        <v>49</v>
      </c>
      <c r="AB23" s="105">
        <v>12.1</v>
      </c>
      <c r="AC23" s="105">
        <v>12.8</v>
      </c>
      <c r="AD23" s="105">
        <v>13</v>
      </c>
      <c r="AE23" s="105">
        <v>12.7</v>
      </c>
      <c r="AF23" s="105">
        <v>11.8</v>
      </c>
    </row>
    <row r="24" spans="1:43" ht="17.25" customHeight="1">
      <c r="G24" s="94"/>
      <c r="H24" s="94"/>
      <c r="I24" s="94"/>
      <c r="J24" s="94"/>
      <c r="L24" s="18"/>
      <c r="M24" s="15"/>
      <c r="N24" s="15"/>
      <c r="O24" s="15"/>
      <c r="P24" s="15"/>
      <c r="Q24" s="15"/>
      <c r="R24" s="15"/>
      <c r="S24" s="15"/>
      <c r="T24" s="15"/>
      <c r="U24" s="15"/>
      <c r="V24" s="15"/>
      <c r="W24" s="15"/>
      <c r="X24" s="15"/>
      <c r="AA24" s="106" t="s">
        <v>50</v>
      </c>
      <c r="AB24" s="103">
        <v>31.4</v>
      </c>
      <c r="AC24" s="103">
        <v>32.6</v>
      </c>
      <c r="AD24" s="96">
        <v>32.799999999999997</v>
      </c>
      <c r="AE24" s="96">
        <v>33.6</v>
      </c>
      <c r="AF24" s="103">
        <v>33.4</v>
      </c>
    </row>
    <row r="25" spans="1:43" ht="17.25" customHeight="1">
      <c r="G25" s="94"/>
      <c r="H25" s="94"/>
      <c r="I25" s="94"/>
      <c r="J25" s="94"/>
      <c r="L25" s="18"/>
      <c r="M25" s="15"/>
      <c r="N25" s="15"/>
      <c r="O25" s="15"/>
      <c r="P25" s="15"/>
      <c r="Q25" s="15"/>
      <c r="R25" s="15"/>
      <c r="S25" s="15"/>
      <c r="T25" s="15"/>
      <c r="U25" s="15"/>
      <c r="V25" s="15"/>
      <c r="W25" s="15"/>
      <c r="X25" s="15"/>
      <c r="AA25" s="108" t="s">
        <v>51</v>
      </c>
      <c r="AB25" s="99">
        <v>35.1</v>
      </c>
      <c r="AC25" s="99">
        <v>36.299999999999997</v>
      </c>
      <c r="AD25" s="99">
        <v>36.4</v>
      </c>
      <c r="AE25" s="99">
        <v>37.4</v>
      </c>
      <c r="AF25" s="99">
        <v>37.200000000000003</v>
      </c>
    </row>
    <row r="26" spans="1:43" ht="17.25" customHeight="1">
      <c r="L26" s="18"/>
      <c r="M26" s="15"/>
      <c r="N26" s="15"/>
      <c r="O26" s="15"/>
      <c r="P26" s="15"/>
      <c r="Q26" s="15"/>
      <c r="R26" s="15"/>
      <c r="S26" s="15"/>
      <c r="T26" s="15"/>
      <c r="U26" s="15"/>
      <c r="V26" s="15"/>
      <c r="W26" s="15"/>
      <c r="X26" s="15"/>
      <c r="AA26" s="108" t="s">
        <v>52</v>
      </c>
      <c r="AB26" s="99">
        <v>11.1</v>
      </c>
      <c r="AC26" s="99">
        <v>12</v>
      </c>
      <c r="AD26" s="99">
        <v>12</v>
      </c>
      <c r="AE26" s="99">
        <v>11.7</v>
      </c>
      <c r="AF26" s="99">
        <v>11.4</v>
      </c>
    </row>
    <row r="27" spans="1:43" ht="17.25" customHeight="1">
      <c r="L27" s="18"/>
      <c r="M27" s="15"/>
      <c r="N27" s="15"/>
      <c r="O27" s="15"/>
      <c r="P27" s="15"/>
      <c r="Q27" s="15"/>
      <c r="R27" s="15"/>
      <c r="S27" s="15"/>
      <c r="T27" s="15"/>
      <c r="U27" s="15"/>
      <c r="V27" s="15"/>
      <c r="W27" s="15"/>
      <c r="X27" s="15"/>
      <c r="AA27" s="108"/>
      <c r="AB27" s="99"/>
      <c r="AC27" s="99"/>
      <c r="AD27" s="99"/>
      <c r="AE27" s="99"/>
      <c r="AF27" s="99"/>
    </row>
    <row r="28" spans="1:43" ht="17.25" customHeight="1">
      <c r="L28" s="18"/>
      <c r="M28" s="15"/>
      <c r="N28" s="15"/>
      <c r="O28" s="15"/>
      <c r="P28" s="15"/>
      <c r="Q28" s="15"/>
      <c r="R28" s="15"/>
      <c r="S28" s="15"/>
      <c r="T28" s="15"/>
      <c r="U28" s="15"/>
      <c r="V28" s="15"/>
      <c r="W28" s="15"/>
      <c r="X28" s="15"/>
      <c r="AA28" s="108"/>
      <c r="AB28" s="99"/>
      <c r="AC28" s="99"/>
      <c r="AD28" s="99"/>
      <c r="AE28" s="99"/>
      <c r="AF28" s="99"/>
    </row>
    <row r="29" spans="1:43" s="162" customFormat="1" ht="34.5" customHeight="1">
      <c r="E29" s="342">
        <v>2008</v>
      </c>
      <c r="F29" s="342"/>
      <c r="G29" s="342"/>
      <c r="H29" s="342"/>
      <c r="I29" s="342"/>
      <c r="J29" s="342"/>
      <c r="K29" s="342"/>
      <c r="M29" s="342">
        <v>2009</v>
      </c>
      <c r="N29" s="342"/>
      <c r="O29" s="342"/>
      <c r="P29" s="342"/>
      <c r="Q29" s="342"/>
      <c r="R29" s="342"/>
      <c r="S29" s="342"/>
      <c r="T29" s="163"/>
      <c r="U29" s="342">
        <v>2010</v>
      </c>
      <c r="V29" s="342"/>
      <c r="W29" s="342"/>
      <c r="X29" s="342"/>
      <c r="Y29" s="342"/>
      <c r="Z29" s="342"/>
      <c r="AA29" s="342"/>
      <c r="AB29" s="163"/>
      <c r="AC29" s="342">
        <v>2011</v>
      </c>
      <c r="AD29" s="342"/>
      <c r="AE29" s="342"/>
      <c r="AF29" s="342"/>
      <c r="AG29" s="342"/>
      <c r="AH29" s="342"/>
      <c r="AI29" s="342"/>
      <c r="AK29" s="342">
        <v>2012</v>
      </c>
      <c r="AL29" s="342"/>
      <c r="AM29" s="342"/>
      <c r="AN29" s="342"/>
      <c r="AO29" s="342"/>
      <c r="AP29" s="342"/>
      <c r="AQ29" s="342"/>
    </row>
    <row r="30" spans="1:43" s="164" customFormat="1" ht="30.75" customHeight="1">
      <c r="B30" s="165"/>
      <c r="C30" s="165"/>
      <c r="D30" s="166"/>
      <c r="E30" s="166" t="s">
        <v>61</v>
      </c>
      <c r="F30" s="166" t="s">
        <v>10</v>
      </c>
      <c r="G30" s="166" t="s">
        <v>11</v>
      </c>
      <c r="H30" s="166" t="s">
        <v>12</v>
      </c>
      <c r="I30" s="166" t="s">
        <v>21</v>
      </c>
      <c r="J30" s="166" t="s">
        <v>13</v>
      </c>
      <c r="K30" s="166" t="s">
        <v>62</v>
      </c>
      <c r="L30" s="166"/>
      <c r="M30" s="166" t="s">
        <v>61</v>
      </c>
      <c r="N30" s="166" t="s">
        <v>10</v>
      </c>
      <c r="O30" s="166" t="s">
        <v>11</v>
      </c>
      <c r="P30" s="166" t="s">
        <v>12</v>
      </c>
      <c r="Q30" s="166" t="s">
        <v>21</v>
      </c>
      <c r="R30" s="166" t="s">
        <v>13</v>
      </c>
      <c r="S30" s="166" t="s">
        <v>62</v>
      </c>
      <c r="T30" s="166"/>
      <c r="U30" s="166" t="s">
        <v>61</v>
      </c>
      <c r="V30" s="166" t="s">
        <v>10</v>
      </c>
      <c r="W30" s="166" t="s">
        <v>11</v>
      </c>
      <c r="X30" s="166" t="s">
        <v>12</v>
      </c>
      <c r="Y30" s="166" t="s">
        <v>21</v>
      </c>
      <c r="Z30" s="166" t="s">
        <v>13</v>
      </c>
      <c r="AA30" s="166" t="s">
        <v>62</v>
      </c>
      <c r="AB30" s="166"/>
      <c r="AC30" s="166" t="s">
        <v>61</v>
      </c>
      <c r="AD30" s="166" t="s">
        <v>10</v>
      </c>
      <c r="AE30" s="166" t="s">
        <v>11</v>
      </c>
      <c r="AF30" s="166" t="s">
        <v>12</v>
      </c>
      <c r="AG30" s="166" t="s">
        <v>21</v>
      </c>
      <c r="AH30" s="166" t="s">
        <v>13</v>
      </c>
      <c r="AI30" s="166" t="s">
        <v>62</v>
      </c>
      <c r="AJ30" s="166"/>
      <c r="AK30" s="166" t="s">
        <v>61</v>
      </c>
      <c r="AL30" s="166" t="s">
        <v>10</v>
      </c>
      <c r="AM30" s="166" t="s">
        <v>11</v>
      </c>
      <c r="AN30" s="166" t="s">
        <v>12</v>
      </c>
      <c r="AO30" s="166" t="s">
        <v>21</v>
      </c>
      <c r="AP30" s="166" t="s">
        <v>13</v>
      </c>
      <c r="AQ30" s="166" t="s">
        <v>62</v>
      </c>
    </row>
    <row r="31" spans="1:43" s="2" customFormat="1" ht="30.75" customHeight="1">
      <c r="A31" s="4"/>
      <c r="B31" s="7"/>
      <c r="D31" s="161" t="s">
        <v>63</v>
      </c>
      <c r="E31" s="99">
        <v>31.8</v>
      </c>
      <c r="F31" s="99">
        <v>68.900000000000006</v>
      </c>
      <c r="G31" s="99">
        <v>27.4</v>
      </c>
      <c r="H31" s="99">
        <v>30.8</v>
      </c>
      <c r="I31" s="99">
        <v>33.799999999999997</v>
      </c>
      <c r="J31" s="99">
        <v>35.700000000000003</v>
      </c>
      <c r="K31" s="99">
        <v>35.1</v>
      </c>
      <c r="L31" s="159"/>
      <c r="M31" s="99">
        <v>32.9</v>
      </c>
      <c r="N31" s="99">
        <v>63.7</v>
      </c>
      <c r="O31" s="99">
        <v>31</v>
      </c>
      <c r="P31" s="99">
        <v>33.299999999999997</v>
      </c>
      <c r="Q31" s="99">
        <v>32.799999999999997</v>
      </c>
      <c r="R31" s="99">
        <v>36.9</v>
      </c>
      <c r="S31" s="99">
        <v>36.299999999999997</v>
      </c>
      <c r="T31" s="159"/>
      <c r="U31" s="99">
        <v>35.6</v>
      </c>
      <c r="V31" s="99">
        <v>56.2</v>
      </c>
      <c r="W31" s="99">
        <v>30.7</v>
      </c>
      <c r="X31" s="99">
        <v>34.9</v>
      </c>
      <c r="Y31" s="99">
        <v>35.299999999999997</v>
      </c>
      <c r="Z31" s="99">
        <v>36</v>
      </c>
      <c r="AA31" s="99">
        <v>36.4</v>
      </c>
      <c r="AB31" s="159"/>
      <c r="AC31" s="99">
        <v>35</v>
      </c>
      <c r="AD31" s="99">
        <v>59.1</v>
      </c>
      <c r="AE31" s="99">
        <v>29.5</v>
      </c>
      <c r="AF31" s="99">
        <v>36.299999999999997</v>
      </c>
      <c r="AG31" s="99">
        <v>40.799999999999997</v>
      </c>
      <c r="AH31" s="99">
        <v>36.4</v>
      </c>
      <c r="AI31" s="99">
        <v>37.4</v>
      </c>
      <c r="AJ31" s="159"/>
      <c r="AK31" s="99">
        <v>36.5</v>
      </c>
      <c r="AL31" s="99">
        <v>57.8</v>
      </c>
      <c r="AM31" s="99">
        <v>28.6</v>
      </c>
      <c r="AN31" s="99">
        <v>37</v>
      </c>
      <c r="AO31" s="99">
        <v>43.1</v>
      </c>
      <c r="AP31" s="99">
        <v>35.700000000000003</v>
      </c>
      <c r="AQ31" s="99">
        <v>37.200000000000003</v>
      </c>
    </row>
    <row r="32" spans="1:43" s="2" customFormat="1" ht="30.75" customHeight="1">
      <c r="A32" s="4"/>
      <c r="B32" s="7"/>
      <c r="D32" s="161" t="s">
        <v>64</v>
      </c>
      <c r="E32" s="99">
        <v>8.4</v>
      </c>
      <c r="F32" s="99">
        <v>23.3</v>
      </c>
      <c r="G32" s="99">
        <v>8.1</v>
      </c>
      <c r="H32" s="99">
        <v>11.8</v>
      </c>
      <c r="I32" s="99">
        <v>9.4</v>
      </c>
      <c r="J32" s="99">
        <v>12.1</v>
      </c>
      <c r="K32" s="99">
        <v>11.1</v>
      </c>
      <c r="L32" s="159"/>
      <c r="M32" s="99">
        <v>9.3000000000000007</v>
      </c>
      <c r="N32" s="99">
        <v>22.8</v>
      </c>
      <c r="O32" s="99">
        <v>8.6999999999999993</v>
      </c>
      <c r="P32" s="99">
        <v>12.9</v>
      </c>
      <c r="Q32" s="99">
        <v>10.3</v>
      </c>
      <c r="R32" s="99">
        <v>12.8</v>
      </c>
      <c r="S32" s="99">
        <v>12</v>
      </c>
      <c r="T32" s="159"/>
      <c r="U32" s="99">
        <v>9.3000000000000007</v>
      </c>
      <c r="V32" s="99">
        <v>21.7</v>
      </c>
      <c r="W32" s="99">
        <v>9.1</v>
      </c>
      <c r="X32" s="99">
        <v>13.2</v>
      </c>
      <c r="Y32" s="99">
        <v>10.3</v>
      </c>
      <c r="Z32" s="99">
        <v>13</v>
      </c>
      <c r="AA32" s="99">
        <v>12</v>
      </c>
      <c r="AB32" s="159"/>
      <c r="AC32" s="99">
        <v>9.1999999999999993</v>
      </c>
      <c r="AD32" s="99">
        <v>20.7</v>
      </c>
      <c r="AE32" s="99">
        <v>8.3000000000000007</v>
      </c>
      <c r="AF32" s="99">
        <v>13.2</v>
      </c>
      <c r="AG32" s="99">
        <v>10.1</v>
      </c>
      <c r="AH32" s="99">
        <v>12.7</v>
      </c>
      <c r="AI32" s="99">
        <v>11.7</v>
      </c>
      <c r="AJ32" s="159"/>
      <c r="AK32" s="99">
        <v>10</v>
      </c>
      <c r="AL32" s="99">
        <v>17.3</v>
      </c>
      <c r="AM32" s="99">
        <v>8.1</v>
      </c>
      <c r="AN32" s="99">
        <v>14.1</v>
      </c>
      <c r="AO32" s="99">
        <v>9.3000000000000007</v>
      </c>
      <c r="AP32" s="99">
        <v>11.8</v>
      </c>
      <c r="AQ32" s="99">
        <v>11.4</v>
      </c>
    </row>
    <row r="33" spans="1:52" s="2" customFormat="1" ht="30.75" hidden="1" customHeight="1">
      <c r="A33" s="4"/>
      <c r="B33" s="7"/>
      <c r="C33" s="7"/>
      <c r="D33" s="159" t="s">
        <v>53</v>
      </c>
      <c r="E33" s="99">
        <v>32.9</v>
      </c>
      <c r="F33" s="99">
        <v>63.7</v>
      </c>
      <c r="G33" s="99">
        <v>31</v>
      </c>
      <c r="H33" s="99">
        <v>33.299999999999997</v>
      </c>
      <c r="I33" s="99">
        <v>32.799999999999997</v>
      </c>
      <c r="J33" s="99">
        <v>36.9</v>
      </c>
      <c r="K33" s="99">
        <v>36.299999999999997</v>
      </c>
      <c r="L33" s="99"/>
      <c r="N33" s="7"/>
      <c r="O33" s="7"/>
      <c r="P33" s="7"/>
      <c r="Q33" s="7"/>
      <c r="R33" s="7"/>
      <c r="S33" s="7"/>
      <c r="T33" s="7"/>
      <c r="W33" s="160"/>
      <c r="X33" s="19"/>
      <c r="Y33" s="19"/>
      <c r="Z33" s="19"/>
      <c r="AA33" s="19"/>
      <c r="AB33" s="19"/>
      <c r="AC33" s="19"/>
    </row>
    <row r="34" spans="1:52" s="2" customFormat="1" ht="30.75" hidden="1" customHeight="1">
      <c r="A34" s="4"/>
      <c r="B34" s="7"/>
      <c r="C34" s="7"/>
      <c r="D34" s="159" t="s">
        <v>54</v>
      </c>
      <c r="E34" s="99">
        <v>9.3000000000000007</v>
      </c>
      <c r="F34" s="99">
        <v>22.8</v>
      </c>
      <c r="G34" s="99">
        <v>8.6999999999999993</v>
      </c>
      <c r="H34" s="99">
        <v>12.9</v>
      </c>
      <c r="I34" s="99">
        <v>10.3</v>
      </c>
      <c r="J34" s="99">
        <v>12.8</v>
      </c>
      <c r="K34" s="99">
        <v>12</v>
      </c>
      <c r="L34" s="99"/>
      <c r="M34" s="99"/>
      <c r="N34" s="7"/>
      <c r="O34" s="7"/>
      <c r="P34" s="7"/>
      <c r="Q34" s="7"/>
      <c r="R34" s="7"/>
      <c r="S34" s="7"/>
      <c r="T34" s="7"/>
      <c r="W34" s="160"/>
      <c r="X34" s="19"/>
      <c r="Y34" s="19"/>
      <c r="Z34" s="19"/>
      <c r="AA34" s="19"/>
      <c r="AB34" s="19"/>
      <c r="AC34" s="19"/>
    </row>
    <row r="35" spans="1:52" s="2" customFormat="1" ht="30.75" hidden="1" customHeight="1">
      <c r="A35" s="4"/>
      <c r="B35" s="7"/>
      <c r="C35" s="7"/>
      <c r="D35" s="159" t="s">
        <v>55</v>
      </c>
      <c r="E35" s="99">
        <v>35.6</v>
      </c>
      <c r="F35" s="99">
        <v>56.2</v>
      </c>
      <c r="G35" s="99">
        <v>30.7</v>
      </c>
      <c r="H35" s="99">
        <v>34.9</v>
      </c>
      <c r="I35" s="99">
        <v>35.299999999999997</v>
      </c>
      <c r="J35" s="99">
        <v>36</v>
      </c>
      <c r="K35" s="99">
        <v>36.4</v>
      </c>
      <c r="L35" s="99"/>
      <c r="N35" s="7"/>
      <c r="O35" s="7"/>
      <c r="P35" s="7"/>
      <c r="Q35" s="7"/>
      <c r="R35" s="7"/>
      <c r="S35" s="7"/>
      <c r="T35" s="7"/>
      <c r="W35" s="160"/>
      <c r="X35" s="19"/>
      <c r="Y35" s="19"/>
      <c r="Z35" s="19"/>
      <c r="AA35" s="19"/>
      <c r="AB35" s="19"/>
      <c r="AC35" s="19"/>
    </row>
    <row r="36" spans="1:52" s="2" customFormat="1" ht="30.75" hidden="1" customHeight="1">
      <c r="A36" s="4"/>
      <c r="B36" s="7"/>
      <c r="C36" s="7"/>
      <c r="D36" s="159" t="s">
        <v>56</v>
      </c>
      <c r="E36" s="99">
        <v>9.3000000000000007</v>
      </c>
      <c r="F36" s="99">
        <v>21.7</v>
      </c>
      <c r="G36" s="99">
        <v>9.1</v>
      </c>
      <c r="H36" s="99">
        <v>13.2</v>
      </c>
      <c r="I36" s="99">
        <v>10.3</v>
      </c>
      <c r="J36" s="99">
        <v>13</v>
      </c>
      <c r="K36" s="99">
        <v>12</v>
      </c>
      <c r="L36" s="99"/>
      <c r="M36" s="99"/>
      <c r="N36" s="7"/>
      <c r="O36" s="7"/>
      <c r="P36" s="7"/>
      <c r="Q36" s="7"/>
      <c r="R36" s="7"/>
      <c r="S36" s="7"/>
      <c r="T36" s="7"/>
      <c r="W36" s="160"/>
      <c r="X36" s="19"/>
      <c r="Y36" s="19"/>
      <c r="Z36" s="19"/>
      <c r="AA36" s="19"/>
      <c r="AB36" s="19"/>
      <c r="AC36" s="19"/>
    </row>
    <row r="37" spans="1:52" s="2" customFormat="1" ht="30.75" hidden="1" customHeight="1">
      <c r="A37" s="4"/>
      <c r="B37" s="7"/>
      <c r="C37" s="7"/>
      <c r="D37" s="159" t="s">
        <v>57</v>
      </c>
      <c r="E37" s="99">
        <v>35</v>
      </c>
      <c r="F37" s="99">
        <v>59.1</v>
      </c>
      <c r="G37" s="99">
        <v>29.5</v>
      </c>
      <c r="H37" s="99">
        <v>36.299999999999997</v>
      </c>
      <c r="I37" s="99">
        <v>40.799999999999997</v>
      </c>
      <c r="J37" s="99">
        <v>36.4</v>
      </c>
      <c r="K37" s="99">
        <v>37.4</v>
      </c>
      <c r="L37" s="99"/>
      <c r="N37" s="7"/>
      <c r="O37" s="7"/>
      <c r="P37" s="7"/>
      <c r="Q37" s="7"/>
      <c r="R37" s="7"/>
      <c r="S37" s="7"/>
      <c r="T37" s="7"/>
      <c r="W37" s="160"/>
      <c r="X37" s="19"/>
      <c r="Y37" s="19"/>
      <c r="Z37" s="19"/>
      <c r="AA37" s="19"/>
      <c r="AB37" s="19"/>
      <c r="AC37" s="19"/>
    </row>
    <row r="38" spans="1:52" s="2" customFormat="1" ht="30.75" hidden="1" customHeight="1">
      <c r="A38" s="4"/>
      <c r="B38" s="7"/>
      <c r="C38" s="7"/>
      <c r="D38" s="159" t="s">
        <v>58</v>
      </c>
      <c r="E38" s="99">
        <v>9.1999999999999993</v>
      </c>
      <c r="F38" s="99">
        <v>20.7</v>
      </c>
      <c r="G38" s="99">
        <v>8.3000000000000007</v>
      </c>
      <c r="H38" s="99">
        <v>13.2</v>
      </c>
      <c r="I38" s="99">
        <v>10.1</v>
      </c>
      <c r="J38" s="99">
        <v>12.7</v>
      </c>
      <c r="K38" s="99">
        <v>11.7</v>
      </c>
      <c r="L38" s="99"/>
      <c r="M38" s="99"/>
      <c r="N38" s="7"/>
      <c r="O38" s="7"/>
      <c r="P38" s="7"/>
      <c r="Q38" s="7"/>
      <c r="R38" s="7"/>
      <c r="S38" s="7"/>
      <c r="T38" s="7"/>
      <c r="W38" s="160"/>
      <c r="X38" s="19"/>
      <c r="Y38" s="19"/>
      <c r="Z38" s="19"/>
      <c r="AA38" s="19"/>
      <c r="AB38" s="19"/>
      <c r="AC38" s="19"/>
    </row>
    <row r="39" spans="1:52" s="2" customFormat="1" ht="30.75" hidden="1" customHeight="1">
      <c r="A39" s="4"/>
      <c r="B39" s="7"/>
      <c r="C39" s="7"/>
      <c r="D39" s="159" t="s">
        <v>59</v>
      </c>
      <c r="E39" s="99">
        <v>36.5</v>
      </c>
      <c r="F39" s="99">
        <v>57.8</v>
      </c>
      <c r="G39" s="99">
        <v>28.6</v>
      </c>
      <c r="H39" s="99">
        <v>37</v>
      </c>
      <c r="I39" s="99">
        <v>43.1</v>
      </c>
      <c r="J39" s="99">
        <v>35.700000000000003</v>
      </c>
      <c r="K39" s="99">
        <v>37.200000000000003</v>
      </c>
      <c r="L39" s="99"/>
      <c r="N39" s="7"/>
      <c r="O39" s="7"/>
      <c r="P39" s="7"/>
      <c r="Q39" s="7"/>
      <c r="R39" s="7"/>
      <c r="S39" s="7"/>
      <c r="T39" s="7"/>
      <c r="W39" s="160"/>
      <c r="X39" s="19"/>
      <c r="Y39" s="19"/>
      <c r="Z39" s="19"/>
      <c r="AA39" s="19"/>
      <c r="AB39" s="19"/>
      <c r="AC39" s="19"/>
    </row>
    <row r="40" spans="1:52" ht="13.2" hidden="1">
      <c r="D40" s="159" t="s">
        <v>60</v>
      </c>
      <c r="E40" s="99">
        <v>10</v>
      </c>
      <c r="F40" s="99">
        <v>17.3</v>
      </c>
      <c r="G40" s="99">
        <v>8.1</v>
      </c>
      <c r="H40" s="99">
        <v>14.1</v>
      </c>
      <c r="I40" s="99">
        <v>9.3000000000000007</v>
      </c>
      <c r="J40" s="99">
        <v>11.8</v>
      </c>
      <c r="K40" s="99">
        <v>11.4</v>
      </c>
      <c r="L40" s="99"/>
      <c r="U40"/>
      <c r="V40"/>
      <c r="W40" s="18"/>
      <c r="X40" s="19"/>
      <c r="Y40" s="19"/>
      <c r="Z40" s="19"/>
      <c r="AA40" s="19"/>
      <c r="AB40" s="19"/>
      <c r="AC40" s="19"/>
      <c r="AD40"/>
      <c r="AE40"/>
      <c r="AF40"/>
    </row>
    <row r="41" spans="1:52" ht="39" customHeight="1"/>
    <row r="46" spans="1:52" s="5" customFormat="1" ht="27" customHeight="1">
      <c r="B46" s="11"/>
      <c r="C46" s="11"/>
      <c r="D46" s="11"/>
      <c r="E46" s="11"/>
      <c r="F46" s="11"/>
      <c r="G46"/>
      <c r="H46"/>
      <c r="I46"/>
      <c r="J46"/>
      <c r="K46"/>
      <c r="M46" s="11"/>
      <c r="N46" s="11"/>
      <c r="O46" s="11"/>
      <c r="P46" s="11"/>
      <c r="Q46" s="11"/>
      <c r="R46" s="11"/>
      <c r="S46" s="11"/>
      <c r="T46" s="11"/>
      <c r="U46" s="11"/>
      <c r="V46" s="11"/>
      <c r="W46" s="11"/>
      <c r="X46" s="11"/>
      <c r="Y46"/>
      <c r="Z46"/>
      <c r="AB46" s="11"/>
      <c r="AC46" s="11"/>
      <c r="AD46" s="11"/>
      <c r="AE46" s="11"/>
      <c r="AF46" s="11"/>
      <c r="AG46"/>
      <c r="AH46"/>
      <c r="AI46"/>
      <c r="AJ46"/>
      <c r="AK46"/>
      <c r="AL46"/>
      <c r="AM46"/>
      <c r="AN46"/>
      <c r="AO46"/>
      <c r="AP46"/>
      <c r="AQ46"/>
      <c r="AR46"/>
      <c r="AS46"/>
      <c r="AT46"/>
      <c r="AU46"/>
      <c r="AV46"/>
      <c r="AW46"/>
      <c r="AX46"/>
      <c r="AY46"/>
      <c r="AZ46"/>
    </row>
    <row r="47" spans="1:52" s="5" customFormat="1" ht="27" customHeight="1">
      <c r="B47" s="11"/>
      <c r="C47" s="11"/>
      <c r="D47" s="11"/>
      <c r="E47" s="11"/>
      <c r="F47" s="11"/>
      <c r="G47"/>
      <c r="H47"/>
      <c r="I47"/>
      <c r="J47"/>
      <c r="K47"/>
      <c r="M47" s="11"/>
      <c r="N47" s="11"/>
      <c r="O47" s="11"/>
      <c r="P47" s="11"/>
      <c r="Q47" s="11"/>
      <c r="R47" s="11"/>
      <c r="S47" s="11"/>
      <c r="T47" s="11"/>
      <c r="U47" s="11"/>
      <c r="V47" s="11"/>
      <c r="W47" s="11"/>
      <c r="X47" s="11"/>
      <c r="Y47"/>
      <c r="Z47"/>
      <c r="AB47" s="11"/>
      <c r="AC47" s="11"/>
      <c r="AD47" s="11"/>
      <c r="AE47" s="11"/>
      <c r="AF47" s="11"/>
      <c r="AG47"/>
      <c r="AH47"/>
      <c r="AI47"/>
      <c r="AJ47"/>
      <c r="AK47"/>
      <c r="AL47"/>
      <c r="AM47"/>
      <c r="AN47"/>
      <c r="AO47"/>
      <c r="AP47"/>
      <c r="AQ47"/>
      <c r="AR47"/>
      <c r="AS47"/>
      <c r="AT47"/>
      <c r="AU47"/>
      <c r="AV47"/>
      <c r="AW47"/>
      <c r="AX47"/>
      <c r="AY47"/>
      <c r="AZ47"/>
    </row>
    <row r="48" spans="1:52" s="5" customFormat="1" ht="27" customHeight="1">
      <c r="B48" s="11"/>
      <c r="C48" s="11"/>
      <c r="D48" s="11"/>
      <c r="E48" s="11"/>
      <c r="F48" s="11"/>
      <c r="G48"/>
      <c r="H48"/>
      <c r="I48"/>
      <c r="J48"/>
      <c r="K48"/>
      <c r="M48" s="11"/>
      <c r="N48" s="11"/>
      <c r="O48" s="11"/>
      <c r="P48" s="11"/>
      <c r="Q48" s="11"/>
      <c r="R48" s="11"/>
      <c r="S48" s="11"/>
      <c r="T48" s="11"/>
      <c r="U48" s="11"/>
      <c r="V48" s="11"/>
      <c r="W48" s="11"/>
      <c r="X48" s="11"/>
      <c r="Y48"/>
      <c r="Z48"/>
      <c r="AB48" s="11"/>
      <c r="AC48" s="11"/>
      <c r="AD48" s="11"/>
      <c r="AE48" s="11"/>
      <c r="AF48" s="11"/>
      <c r="AG48"/>
      <c r="AH48"/>
      <c r="AI48"/>
      <c r="AJ48"/>
      <c r="AK48"/>
      <c r="AL48"/>
      <c r="AM48"/>
      <c r="AN48"/>
      <c r="AO48"/>
      <c r="AP48"/>
      <c r="AQ48"/>
      <c r="AR48"/>
      <c r="AS48"/>
      <c r="AT48"/>
      <c r="AU48"/>
      <c r="AV48"/>
      <c r="AW48"/>
      <c r="AX48"/>
      <c r="AY48"/>
      <c r="AZ48"/>
    </row>
    <row r="49" spans="2:52" s="5" customFormat="1" ht="7.5" customHeight="1">
      <c r="B49" s="11"/>
      <c r="C49" s="11"/>
      <c r="D49" s="11"/>
      <c r="E49" s="11"/>
      <c r="F49" s="11"/>
      <c r="G49"/>
      <c r="H49"/>
      <c r="I49"/>
      <c r="J49"/>
      <c r="K49"/>
      <c r="M49" s="11"/>
      <c r="N49" s="11"/>
      <c r="O49" s="11"/>
      <c r="P49" s="11"/>
      <c r="Q49" s="11"/>
      <c r="R49" s="11"/>
      <c r="S49" s="11"/>
      <c r="T49" s="11"/>
      <c r="U49" s="11"/>
      <c r="V49" s="11"/>
      <c r="W49" s="11"/>
      <c r="X49" s="11"/>
      <c r="Y49"/>
      <c r="Z49"/>
      <c r="AB49" s="11"/>
      <c r="AC49" s="11"/>
      <c r="AD49" s="11"/>
      <c r="AE49" s="11"/>
      <c r="AF49" s="11"/>
      <c r="AG49"/>
      <c r="AH49"/>
      <c r="AI49"/>
      <c r="AJ49"/>
      <c r="AK49"/>
      <c r="AL49"/>
      <c r="AM49"/>
      <c r="AN49"/>
      <c r="AO49"/>
      <c r="AP49"/>
      <c r="AQ49"/>
      <c r="AR49"/>
      <c r="AS49"/>
      <c r="AT49"/>
      <c r="AU49"/>
      <c r="AV49"/>
      <c r="AW49"/>
      <c r="AX49"/>
      <c r="AY49"/>
      <c r="AZ49"/>
    </row>
    <row r="50" spans="2:52" s="5" customFormat="1" ht="7.5" customHeight="1">
      <c r="B50" s="11"/>
      <c r="C50" s="11"/>
      <c r="D50" s="11"/>
      <c r="E50" s="11"/>
      <c r="F50" s="11"/>
      <c r="G50"/>
      <c r="H50"/>
      <c r="I50"/>
      <c r="J50"/>
      <c r="K50"/>
      <c r="M50" s="11"/>
      <c r="N50" s="11"/>
      <c r="O50" s="11"/>
      <c r="P50" s="11"/>
      <c r="Q50" s="11"/>
      <c r="R50" s="11"/>
      <c r="S50" s="11"/>
      <c r="T50" s="11"/>
      <c r="U50" s="11"/>
      <c r="V50" s="11"/>
      <c r="W50" s="11"/>
      <c r="X50" s="11"/>
      <c r="Y50"/>
      <c r="Z50"/>
      <c r="AB50" s="11"/>
      <c r="AC50" s="11"/>
      <c r="AD50" s="11"/>
      <c r="AE50" s="11"/>
      <c r="AF50" s="11"/>
      <c r="AG50"/>
      <c r="AH50"/>
      <c r="AI50"/>
      <c r="AJ50"/>
      <c r="AK50"/>
      <c r="AL50"/>
      <c r="AM50"/>
      <c r="AN50"/>
      <c r="AO50"/>
      <c r="AP50"/>
      <c r="AQ50"/>
      <c r="AR50"/>
      <c r="AS50"/>
      <c r="AT50"/>
      <c r="AU50"/>
      <c r="AV50"/>
      <c r="AW50"/>
      <c r="AX50"/>
      <c r="AY50"/>
      <c r="AZ50"/>
    </row>
    <row r="51" spans="2:52" s="5" customFormat="1" ht="27" customHeight="1">
      <c r="B51" s="11"/>
      <c r="C51" s="11"/>
      <c r="D51" s="11"/>
      <c r="E51" s="11"/>
      <c r="F51" s="11"/>
      <c r="G51"/>
      <c r="H51"/>
      <c r="I51"/>
      <c r="J51"/>
      <c r="K51"/>
      <c r="M51" s="11"/>
      <c r="N51" s="11"/>
      <c r="O51" s="11"/>
      <c r="P51" s="11"/>
      <c r="Q51" s="11"/>
      <c r="R51" s="11"/>
      <c r="S51" s="11"/>
      <c r="T51" s="11"/>
      <c r="U51" s="11"/>
      <c r="V51" s="11"/>
      <c r="W51" s="11"/>
      <c r="X51" s="11"/>
      <c r="Y51"/>
      <c r="Z51"/>
      <c r="AB51" s="11"/>
      <c r="AC51" s="11"/>
      <c r="AD51" s="11"/>
      <c r="AE51" s="11"/>
      <c r="AF51" s="11"/>
      <c r="AG51"/>
      <c r="AH51"/>
      <c r="AI51"/>
      <c r="AJ51"/>
      <c r="AK51"/>
      <c r="AL51"/>
      <c r="AM51"/>
      <c r="AN51"/>
      <c r="AO51"/>
      <c r="AP51"/>
      <c r="AQ51"/>
      <c r="AR51"/>
      <c r="AS51"/>
      <c r="AT51"/>
      <c r="AU51"/>
      <c r="AV51"/>
      <c r="AW51"/>
      <c r="AX51"/>
      <c r="AY51"/>
      <c r="AZ51"/>
    </row>
  </sheetData>
  <mergeCells count="5">
    <mergeCell ref="E29:K29"/>
    <mergeCell ref="M29:S29"/>
    <mergeCell ref="U29:AA29"/>
    <mergeCell ref="AC29:AI29"/>
    <mergeCell ref="AK29:AQ29"/>
  </mergeCells>
  <pageMargins left="0.5" right="0.5" top="0.34" bottom="0.5" header="0.3" footer="0.3"/>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3"/>
  <sheetViews>
    <sheetView showGridLines="0" zoomScale="90" zoomScaleNormal="165" zoomScaleSheetLayoutView="90" workbookViewId="0">
      <selection activeCell="N16" sqref="N16"/>
    </sheetView>
  </sheetViews>
  <sheetFormatPr defaultColWidth="11.44140625" defaultRowHeight="12.75" customHeight="1"/>
  <cols>
    <col min="1" max="1" width="11.6640625" style="5" customWidth="1"/>
    <col min="2" max="6" width="12.33203125" style="11" customWidth="1"/>
    <col min="7" max="7" width="8.44140625" bestFit="1" customWidth="1"/>
    <col min="8" max="8" width="10.109375" bestFit="1" customWidth="1"/>
    <col min="9" max="9" width="9.109375" bestFit="1" customWidth="1"/>
    <col min="12" max="12" width="11.6640625" style="5" customWidth="1"/>
    <col min="13" max="24" width="12.33203125" style="11" customWidth="1"/>
    <col min="27" max="27" width="11.6640625" style="5" customWidth="1"/>
    <col min="28" max="32" width="12.33203125" style="11" customWidth="1"/>
  </cols>
  <sheetData>
    <row r="1" spans="1:43" s="162" customFormat="1" ht="34.5" customHeight="1">
      <c r="E1" s="342">
        <v>2008</v>
      </c>
      <c r="F1" s="342"/>
      <c r="G1" s="342"/>
      <c r="H1" s="342"/>
      <c r="I1" s="342"/>
      <c r="J1" s="342"/>
      <c r="K1" s="342"/>
      <c r="M1" s="342">
        <v>2009</v>
      </c>
      <c r="N1" s="342"/>
      <c r="O1" s="342"/>
      <c r="P1" s="342"/>
      <c r="Q1" s="342"/>
      <c r="R1" s="342"/>
      <c r="S1" s="342"/>
      <c r="T1" s="163"/>
      <c r="U1" s="342">
        <v>2010</v>
      </c>
      <c r="V1" s="342"/>
      <c r="W1" s="342"/>
      <c r="X1" s="342"/>
      <c r="Y1" s="342"/>
      <c r="Z1" s="342"/>
      <c r="AA1" s="342"/>
      <c r="AB1" s="163"/>
      <c r="AC1" s="342">
        <v>2011</v>
      </c>
      <c r="AD1" s="342"/>
      <c r="AE1" s="342"/>
      <c r="AF1" s="342"/>
      <c r="AG1" s="342"/>
      <c r="AH1" s="342"/>
      <c r="AI1" s="342"/>
      <c r="AK1" s="342">
        <v>2012</v>
      </c>
      <c r="AL1" s="342"/>
      <c r="AM1" s="342"/>
      <c r="AN1" s="342"/>
      <c r="AO1" s="342"/>
      <c r="AP1" s="342"/>
      <c r="AQ1" s="342"/>
    </row>
    <row r="2" spans="1:43" s="164" customFormat="1" ht="30.75" customHeight="1">
      <c r="B2" s="165"/>
      <c r="C2" s="165"/>
      <c r="D2" s="166"/>
      <c r="E2" s="166" t="s">
        <v>61</v>
      </c>
      <c r="F2" s="166" t="s">
        <v>10</v>
      </c>
      <c r="G2" s="166" t="s">
        <v>11</v>
      </c>
      <c r="H2" s="166" t="s">
        <v>12</v>
      </c>
      <c r="I2" s="166" t="s">
        <v>21</v>
      </c>
      <c r="J2" s="166" t="s">
        <v>13</v>
      </c>
      <c r="K2" s="166" t="s">
        <v>62</v>
      </c>
      <c r="L2" s="166"/>
      <c r="M2" s="166" t="s">
        <v>61</v>
      </c>
      <c r="N2" s="166" t="s">
        <v>10</v>
      </c>
      <c r="O2" s="166" t="s">
        <v>11</v>
      </c>
      <c r="P2" s="166" t="s">
        <v>12</v>
      </c>
      <c r="Q2" s="166" t="s">
        <v>21</v>
      </c>
      <c r="R2" s="166" t="s">
        <v>13</v>
      </c>
      <c r="S2" s="166" t="s">
        <v>62</v>
      </c>
      <c r="T2" s="166"/>
      <c r="U2" s="166" t="s">
        <v>61</v>
      </c>
      <c r="V2" s="166" t="s">
        <v>10</v>
      </c>
      <c r="W2" s="166" t="s">
        <v>11</v>
      </c>
      <c r="X2" s="166" t="s">
        <v>12</v>
      </c>
      <c r="Y2" s="166" t="s">
        <v>21</v>
      </c>
      <c r="Z2" s="166" t="s">
        <v>13</v>
      </c>
      <c r="AA2" s="166" t="s">
        <v>62</v>
      </c>
      <c r="AB2" s="166"/>
      <c r="AC2" s="166" t="s">
        <v>61</v>
      </c>
      <c r="AD2" s="166" t="s">
        <v>10</v>
      </c>
      <c r="AE2" s="166" t="s">
        <v>11</v>
      </c>
      <c r="AF2" s="166" t="s">
        <v>12</v>
      </c>
      <c r="AG2" s="166" t="s">
        <v>21</v>
      </c>
      <c r="AH2" s="166" t="s">
        <v>13</v>
      </c>
      <c r="AI2" s="166" t="s">
        <v>62</v>
      </c>
      <c r="AJ2" s="166"/>
      <c r="AK2" s="166" t="s">
        <v>61</v>
      </c>
      <c r="AL2" s="166" t="s">
        <v>10</v>
      </c>
      <c r="AM2" s="166" t="s">
        <v>11</v>
      </c>
      <c r="AN2" s="166" t="s">
        <v>12</v>
      </c>
      <c r="AO2" s="166" t="s">
        <v>21</v>
      </c>
      <c r="AP2" s="166" t="s">
        <v>13</v>
      </c>
      <c r="AQ2" s="166" t="s">
        <v>62</v>
      </c>
    </row>
    <row r="3" spans="1:43" s="2" customFormat="1" ht="30.75" customHeight="1">
      <c r="A3" s="4"/>
      <c r="B3" s="7"/>
      <c r="D3" s="161" t="s">
        <v>63</v>
      </c>
      <c r="E3" s="99">
        <v>31.8</v>
      </c>
      <c r="F3" s="99">
        <v>68.900000000000006</v>
      </c>
      <c r="G3" s="99">
        <v>27.4</v>
      </c>
      <c r="H3" s="99">
        <v>30.8</v>
      </c>
      <c r="I3" s="99">
        <v>33.799999999999997</v>
      </c>
      <c r="J3" s="99">
        <v>35.700000000000003</v>
      </c>
      <c r="K3" s="99">
        <v>35.1</v>
      </c>
      <c r="L3" s="159"/>
      <c r="M3" s="99">
        <v>32.9</v>
      </c>
      <c r="N3" s="99">
        <v>63.7</v>
      </c>
      <c r="O3" s="99">
        <v>31</v>
      </c>
      <c r="P3" s="99">
        <v>33.299999999999997</v>
      </c>
      <c r="Q3" s="99">
        <v>32.799999999999997</v>
      </c>
      <c r="R3" s="99">
        <v>36.9</v>
      </c>
      <c r="S3" s="99">
        <v>36.299999999999997</v>
      </c>
      <c r="T3" s="159"/>
      <c r="U3" s="99">
        <v>35.6</v>
      </c>
      <c r="V3" s="99">
        <v>56.2</v>
      </c>
      <c r="W3" s="99">
        <v>30.7</v>
      </c>
      <c r="X3" s="99">
        <v>34.9</v>
      </c>
      <c r="Y3" s="99">
        <v>35.299999999999997</v>
      </c>
      <c r="Z3" s="99">
        <v>36</v>
      </c>
      <c r="AA3" s="99">
        <v>36.4</v>
      </c>
      <c r="AB3" s="159"/>
      <c r="AC3" s="99">
        <v>35</v>
      </c>
      <c r="AD3" s="99">
        <v>59.1</v>
      </c>
      <c r="AE3" s="99">
        <v>29.5</v>
      </c>
      <c r="AF3" s="99">
        <v>36.299999999999997</v>
      </c>
      <c r="AG3" s="99">
        <v>40.799999999999997</v>
      </c>
      <c r="AH3" s="99">
        <v>36.4</v>
      </c>
      <c r="AI3" s="99">
        <v>37.4</v>
      </c>
      <c r="AJ3" s="159"/>
      <c r="AK3" s="99">
        <v>36.5</v>
      </c>
      <c r="AL3" s="99">
        <v>57.8</v>
      </c>
      <c r="AM3" s="99">
        <v>28.6</v>
      </c>
      <c r="AN3" s="99">
        <v>37</v>
      </c>
      <c r="AO3" s="99">
        <v>43.1</v>
      </c>
      <c r="AP3" s="99">
        <v>35.700000000000003</v>
      </c>
      <c r="AQ3" s="99">
        <v>37.200000000000003</v>
      </c>
    </row>
    <row r="4" spans="1:43" s="2" customFormat="1" ht="30.75" customHeight="1">
      <c r="A4" s="4"/>
      <c r="B4" s="7"/>
      <c r="D4" s="161" t="s">
        <v>64</v>
      </c>
      <c r="E4" s="99">
        <v>8.4</v>
      </c>
      <c r="F4" s="99">
        <v>23.3</v>
      </c>
      <c r="G4" s="99">
        <v>8.1</v>
      </c>
      <c r="H4" s="99">
        <v>11.8</v>
      </c>
      <c r="I4" s="99">
        <v>9.4</v>
      </c>
      <c r="J4" s="99">
        <v>12.1</v>
      </c>
      <c r="K4" s="99">
        <v>11.1</v>
      </c>
      <c r="L4" s="159"/>
      <c r="M4" s="99">
        <v>9.3000000000000007</v>
      </c>
      <c r="N4" s="99">
        <v>22.8</v>
      </c>
      <c r="O4" s="99">
        <v>8.6999999999999993</v>
      </c>
      <c r="P4" s="99">
        <v>12.9</v>
      </c>
      <c r="Q4" s="99">
        <v>10.3</v>
      </c>
      <c r="R4" s="99">
        <v>12.8</v>
      </c>
      <c r="S4" s="99">
        <v>12</v>
      </c>
      <c r="T4" s="159"/>
      <c r="U4" s="99">
        <v>9.3000000000000007</v>
      </c>
      <c r="V4" s="99">
        <v>21.7</v>
      </c>
      <c r="W4" s="99">
        <v>9.1</v>
      </c>
      <c r="X4" s="99">
        <v>13.2</v>
      </c>
      <c r="Y4" s="99">
        <v>10.3</v>
      </c>
      <c r="Z4" s="99">
        <v>13</v>
      </c>
      <c r="AA4" s="99">
        <v>12</v>
      </c>
      <c r="AB4" s="159"/>
      <c r="AC4" s="99">
        <v>9.1999999999999993</v>
      </c>
      <c r="AD4" s="99">
        <v>20.7</v>
      </c>
      <c r="AE4" s="99">
        <v>8.3000000000000007</v>
      </c>
      <c r="AF4" s="99">
        <v>13.2</v>
      </c>
      <c r="AG4" s="99">
        <v>10.1</v>
      </c>
      <c r="AH4" s="99">
        <v>12.7</v>
      </c>
      <c r="AI4" s="99">
        <v>11.7</v>
      </c>
      <c r="AJ4" s="159"/>
      <c r="AK4" s="99">
        <v>10</v>
      </c>
      <c r="AL4" s="99">
        <v>17.3</v>
      </c>
      <c r="AM4" s="99">
        <v>8.1</v>
      </c>
      <c r="AN4" s="99">
        <v>14.1</v>
      </c>
      <c r="AO4" s="99">
        <v>9.3000000000000007</v>
      </c>
      <c r="AP4" s="99">
        <v>11.8</v>
      </c>
      <c r="AQ4" s="99">
        <v>11.4</v>
      </c>
    </row>
    <row r="5" spans="1:43" s="2" customFormat="1" ht="30.75" hidden="1" customHeight="1">
      <c r="A5" s="4"/>
      <c r="B5" s="7"/>
      <c r="C5" s="7"/>
      <c r="D5" s="159" t="s">
        <v>53</v>
      </c>
      <c r="E5" s="99">
        <v>32.9</v>
      </c>
      <c r="F5" s="99">
        <v>63.7</v>
      </c>
      <c r="G5" s="99">
        <v>31</v>
      </c>
      <c r="H5" s="99">
        <v>33.299999999999997</v>
      </c>
      <c r="I5" s="99">
        <v>32.799999999999997</v>
      </c>
      <c r="J5" s="99">
        <v>36.9</v>
      </c>
      <c r="K5" s="99">
        <v>36.299999999999997</v>
      </c>
      <c r="L5" s="99"/>
      <c r="N5" s="7"/>
      <c r="O5" s="7"/>
      <c r="P5" s="7"/>
      <c r="Q5" s="7"/>
      <c r="R5" s="7"/>
      <c r="S5" s="7"/>
      <c r="T5" s="7"/>
      <c r="W5" s="160"/>
      <c r="X5" s="19"/>
      <c r="Y5" s="19"/>
      <c r="Z5" s="19"/>
      <c r="AA5" s="19"/>
      <c r="AB5" s="19"/>
      <c r="AC5" s="19"/>
    </row>
    <row r="6" spans="1:43" s="2" customFormat="1" ht="30.75" hidden="1" customHeight="1">
      <c r="A6" s="4"/>
      <c r="B6" s="7"/>
      <c r="C6" s="7"/>
      <c r="D6" s="159" t="s">
        <v>54</v>
      </c>
      <c r="E6" s="99">
        <v>9.3000000000000007</v>
      </c>
      <c r="F6" s="99">
        <v>22.8</v>
      </c>
      <c r="G6" s="99">
        <v>8.6999999999999993</v>
      </c>
      <c r="H6" s="99">
        <v>12.9</v>
      </c>
      <c r="I6" s="99">
        <v>10.3</v>
      </c>
      <c r="J6" s="99">
        <v>12.8</v>
      </c>
      <c r="K6" s="99">
        <v>12</v>
      </c>
      <c r="L6" s="99"/>
      <c r="M6" s="99"/>
      <c r="N6" s="7"/>
      <c r="O6" s="7"/>
      <c r="P6" s="7"/>
      <c r="Q6" s="7"/>
      <c r="R6" s="7"/>
      <c r="S6" s="7"/>
      <c r="T6" s="7"/>
      <c r="W6" s="160"/>
      <c r="X6" s="19"/>
      <c r="Y6" s="19"/>
      <c r="Z6" s="19"/>
      <c r="AA6" s="19"/>
      <c r="AB6" s="19"/>
      <c r="AC6" s="19"/>
    </row>
    <row r="7" spans="1:43" s="2" customFormat="1" ht="30.75" hidden="1" customHeight="1">
      <c r="A7" s="4"/>
      <c r="B7" s="7"/>
      <c r="C7" s="7"/>
      <c r="D7" s="159" t="s">
        <v>55</v>
      </c>
      <c r="E7" s="99">
        <v>35.6</v>
      </c>
      <c r="F7" s="99">
        <v>56.2</v>
      </c>
      <c r="G7" s="99">
        <v>30.7</v>
      </c>
      <c r="H7" s="99">
        <v>34.9</v>
      </c>
      <c r="I7" s="99">
        <v>35.299999999999997</v>
      </c>
      <c r="J7" s="99">
        <v>36</v>
      </c>
      <c r="K7" s="99">
        <v>36.4</v>
      </c>
      <c r="L7" s="99"/>
      <c r="N7" s="7"/>
      <c r="O7" s="7"/>
      <c r="P7" s="7"/>
      <c r="Q7" s="7"/>
      <c r="R7" s="7"/>
      <c r="S7" s="7"/>
      <c r="T7" s="7"/>
      <c r="W7" s="160"/>
      <c r="X7" s="19"/>
      <c r="Y7" s="19"/>
      <c r="Z7" s="19"/>
      <c r="AA7" s="19"/>
      <c r="AB7" s="19"/>
      <c r="AC7" s="19"/>
    </row>
    <row r="8" spans="1:43" s="2" customFormat="1" ht="30.75" hidden="1" customHeight="1">
      <c r="A8" s="4"/>
      <c r="B8" s="7"/>
      <c r="C8" s="7"/>
      <c r="D8" s="159" t="s">
        <v>56</v>
      </c>
      <c r="E8" s="99">
        <v>9.3000000000000007</v>
      </c>
      <c r="F8" s="99">
        <v>21.7</v>
      </c>
      <c r="G8" s="99">
        <v>9.1</v>
      </c>
      <c r="H8" s="99">
        <v>13.2</v>
      </c>
      <c r="I8" s="99">
        <v>10.3</v>
      </c>
      <c r="J8" s="99">
        <v>13</v>
      </c>
      <c r="K8" s="99">
        <v>12</v>
      </c>
      <c r="L8" s="99"/>
      <c r="M8" s="99"/>
      <c r="N8" s="7"/>
      <c r="O8" s="7"/>
      <c r="P8" s="7"/>
      <c r="Q8" s="7"/>
      <c r="R8" s="7"/>
      <c r="S8" s="7"/>
      <c r="T8" s="7"/>
      <c r="W8" s="160"/>
      <c r="X8" s="19"/>
      <c r="Y8" s="19"/>
      <c r="Z8" s="19"/>
      <c r="AA8" s="19"/>
      <c r="AB8" s="19"/>
      <c r="AC8" s="19"/>
    </row>
    <row r="9" spans="1:43" s="2" customFormat="1" ht="30.75" hidden="1" customHeight="1">
      <c r="A9" s="4"/>
      <c r="B9" s="7"/>
      <c r="C9" s="7"/>
      <c r="D9" s="159" t="s">
        <v>57</v>
      </c>
      <c r="E9" s="99">
        <v>35</v>
      </c>
      <c r="F9" s="99">
        <v>59.1</v>
      </c>
      <c r="G9" s="99">
        <v>29.5</v>
      </c>
      <c r="H9" s="99">
        <v>36.299999999999997</v>
      </c>
      <c r="I9" s="99">
        <v>40.799999999999997</v>
      </c>
      <c r="J9" s="99">
        <v>36.4</v>
      </c>
      <c r="K9" s="99">
        <v>37.4</v>
      </c>
      <c r="L9" s="99"/>
      <c r="N9" s="7"/>
      <c r="O9" s="7"/>
      <c r="P9" s="7"/>
      <c r="Q9" s="7"/>
      <c r="R9" s="7"/>
      <c r="S9" s="7"/>
      <c r="T9" s="7"/>
      <c r="W9" s="160"/>
      <c r="X9" s="19"/>
      <c r="Y9" s="19"/>
      <c r="Z9" s="19"/>
      <c r="AA9" s="19"/>
      <c r="AB9" s="19"/>
      <c r="AC9" s="19"/>
    </row>
    <row r="10" spans="1:43" s="2" customFormat="1" ht="30.75" hidden="1" customHeight="1">
      <c r="A10" s="4"/>
      <c r="B10" s="7"/>
      <c r="C10" s="7"/>
      <c r="D10" s="159" t="s">
        <v>58</v>
      </c>
      <c r="E10" s="99">
        <v>9.1999999999999993</v>
      </c>
      <c r="F10" s="99">
        <v>20.7</v>
      </c>
      <c r="G10" s="99">
        <v>8.3000000000000007</v>
      </c>
      <c r="H10" s="99">
        <v>13.2</v>
      </c>
      <c r="I10" s="99">
        <v>10.1</v>
      </c>
      <c r="J10" s="99">
        <v>12.7</v>
      </c>
      <c r="K10" s="99">
        <v>11.7</v>
      </c>
      <c r="L10" s="99"/>
      <c r="M10" s="99"/>
      <c r="N10" s="7"/>
      <c r="O10" s="7"/>
      <c r="P10" s="7"/>
      <c r="Q10" s="7"/>
      <c r="R10" s="7"/>
      <c r="S10" s="7"/>
      <c r="T10" s="7"/>
      <c r="W10" s="160"/>
      <c r="X10" s="19"/>
      <c r="Y10" s="19"/>
      <c r="Z10" s="19"/>
      <c r="AA10" s="19"/>
      <c r="AB10" s="19"/>
      <c r="AC10" s="19"/>
    </row>
    <row r="11" spans="1:43" s="2" customFormat="1" ht="30.75" hidden="1" customHeight="1">
      <c r="A11" s="4"/>
      <c r="B11" s="7"/>
      <c r="C11" s="7"/>
      <c r="D11" s="159" t="s">
        <v>59</v>
      </c>
      <c r="E11" s="99">
        <v>36.5</v>
      </c>
      <c r="F11" s="99">
        <v>57.8</v>
      </c>
      <c r="G11" s="99">
        <v>28.6</v>
      </c>
      <c r="H11" s="99">
        <v>37</v>
      </c>
      <c r="I11" s="99">
        <v>43.1</v>
      </c>
      <c r="J11" s="99">
        <v>35.700000000000003</v>
      </c>
      <c r="K11" s="99">
        <v>37.200000000000003</v>
      </c>
      <c r="L11" s="99"/>
      <c r="N11" s="7"/>
      <c r="O11" s="7"/>
      <c r="P11" s="7"/>
      <c r="Q11" s="7"/>
      <c r="R11" s="7"/>
      <c r="S11" s="7"/>
      <c r="T11" s="7"/>
      <c r="W11" s="160"/>
      <c r="X11" s="19"/>
      <c r="Y11" s="19"/>
      <c r="Z11" s="19"/>
      <c r="AA11" s="19"/>
      <c r="AB11" s="19"/>
      <c r="AC11" s="19"/>
    </row>
    <row r="12" spans="1:43" ht="13.2" hidden="1">
      <c r="D12" s="159" t="s">
        <v>60</v>
      </c>
      <c r="E12" s="99">
        <v>10</v>
      </c>
      <c r="F12" s="99">
        <v>17.3</v>
      </c>
      <c r="G12" s="99">
        <v>8.1</v>
      </c>
      <c r="H12" s="99">
        <v>14.1</v>
      </c>
      <c r="I12" s="99">
        <v>9.3000000000000007</v>
      </c>
      <c r="J12" s="99">
        <v>11.8</v>
      </c>
      <c r="K12" s="99">
        <v>11.4</v>
      </c>
      <c r="L12" s="99"/>
      <c r="U12"/>
      <c r="V12"/>
      <c r="W12" s="18"/>
      <c r="X12" s="19"/>
      <c r="Y12" s="19"/>
      <c r="Z12" s="19"/>
      <c r="AA12" s="19"/>
      <c r="AB12" s="19"/>
      <c r="AC12" s="19"/>
      <c r="AD12"/>
      <c r="AE12"/>
      <c r="AF12"/>
    </row>
    <row r="13" spans="1:43" ht="39" customHeight="1"/>
    <row r="18" spans="2:52" s="5" customFormat="1" ht="27" customHeight="1">
      <c r="B18" s="11"/>
      <c r="C18" s="11"/>
      <c r="D18" s="11"/>
      <c r="E18" s="11"/>
      <c r="F18" s="11"/>
      <c r="G18"/>
      <c r="H18"/>
      <c r="I18"/>
      <c r="J18"/>
      <c r="K18"/>
      <c r="M18" s="11"/>
      <c r="N18" s="11"/>
      <c r="O18" s="11"/>
      <c r="P18" s="11"/>
      <c r="Q18" s="11"/>
      <c r="R18" s="11"/>
      <c r="S18" s="11"/>
      <c r="T18" s="11"/>
      <c r="U18" s="11"/>
      <c r="V18" s="11"/>
      <c r="W18" s="11"/>
      <c r="X18" s="11"/>
      <c r="Y18"/>
      <c r="Z18"/>
      <c r="AB18" s="11"/>
      <c r="AC18" s="11"/>
      <c r="AD18" s="11"/>
      <c r="AE18" s="11"/>
      <c r="AF18" s="11"/>
      <c r="AG18"/>
      <c r="AH18"/>
      <c r="AI18"/>
      <c r="AJ18"/>
      <c r="AK18"/>
      <c r="AL18"/>
      <c r="AM18"/>
      <c r="AN18"/>
      <c r="AO18"/>
      <c r="AP18"/>
      <c r="AQ18"/>
      <c r="AR18"/>
      <c r="AS18"/>
      <c r="AT18"/>
      <c r="AU18"/>
      <c r="AV18"/>
      <c r="AW18"/>
      <c r="AX18"/>
      <c r="AY18"/>
      <c r="AZ18"/>
    </row>
    <row r="19" spans="2:52" s="5" customFormat="1" ht="27" customHeight="1">
      <c r="B19" s="11"/>
      <c r="C19" s="11"/>
      <c r="D19" s="11"/>
      <c r="E19" s="11"/>
      <c r="F19" s="11"/>
      <c r="G19"/>
      <c r="H19"/>
      <c r="I19"/>
      <c r="J19"/>
      <c r="K19"/>
      <c r="M19" s="11"/>
      <c r="N19" s="11"/>
      <c r="O19" s="11"/>
      <c r="P19" s="11"/>
      <c r="Q19" s="11"/>
      <c r="R19" s="11"/>
      <c r="S19" s="11"/>
      <c r="T19" s="11"/>
      <c r="U19" s="11"/>
      <c r="V19" s="11"/>
      <c r="W19" s="11"/>
      <c r="X19" s="11"/>
      <c r="Y19"/>
      <c r="Z19"/>
      <c r="AB19" s="11"/>
      <c r="AC19" s="11"/>
      <c r="AD19" s="11"/>
      <c r="AE19" s="11"/>
      <c r="AF19" s="11"/>
      <c r="AG19"/>
      <c r="AH19"/>
      <c r="AI19"/>
      <c r="AJ19"/>
      <c r="AK19"/>
      <c r="AL19"/>
      <c r="AM19"/>
      <c r="AN19"/>
      <c r="AO19"/>
      <c r="AP19"/>
      <c r="AQ19"/>
      <c r="AR19"/>
      <c r="AS19"/>
      <c r="AT19"/>
      <c r="AU19"/>
      <c r="AV19"/>
      <c r="AW19"/>
      <c r="AX19"/>
      <c r="AY19"/>
      <c r="AZ19"/>
    </row>
    <row r="20" spans="2:52" s="5" customFormat="1" ht="27" customHeight="1">
      <c r="B20" s="11"/>
      <c r="C20" s="11"/>
      <c r="D20" s="11"/>
      <c r="E20" s="11"/>
      <c r="F20" s="11"/>
      <c r="G20"/>
      <c r="H20"/>
      <c r="I20"/>
      <c r="J20"/>
      <c r="K20"/>
      <c r="M20" s="11"/>
      <c r="N20" s="11"/>
      <c r="O20" s="11"/>
      <c r="P20" s="11"/>
      <c r="Q20" s="11"/>
      <c r="R20" s="11"/>
      <c r="S20" s="11"/>
      <c r="T20" s="11"/>
      <c r="U20" s="11"/>
      <c r="V20" s="11"/>
      <c r="W20" s="11"/>
      <c r="X20" s="11"/>
      <c r="Y20"/>
      <c r="Z20"/>
      <c r="AB20" s="11"/>
      <c r="AC20" s="11"/>
      <c r="AD20" s="11"/>
      <c r="AE20" s="11"/>
      <c r="AF20" s="11"/>
      <c r="AG20"/>
      <c r="AH20"/>
      <c r="AI20"/>
      <c r="AJ20"/>
      <c r="AK20"/>
      <c r="AL20"/>
      <c r="AM20"/>
      <c r="AN20"/>
      <c r="AO20"/>
      <c r="AP20"/>
      <c r="AQ20"/>
      <c r="AR20"/>
      <c r="AS20"/>
      <c r="AT20"/>
      <c r="AU20"/>
      <c r="AV20"/>
      <c r="AW20"/>
      <c r="AX20"/>
      <c r="AY20"/>
      <c r="AZ20"/>
    </row>
    <row r="21" spans="2:52" s="5" customFormat="1" ht="7.5" customHeight="1">
      <c r="B21" s="11"/>
      <c r="C21" s="11"/>
      <c r="D21" s="11"/>
      <c r="E21" s="11"/>
      <c r="F21" s="11"/>
      <c r="G21"/>
      <c r="H21"/>
      <c r="I21"/>
      <c r="J21"/>
      <c r="K21"/>
      <c r="M21" s="11"/>
      <c r="N21" s="11"/>
      <c r="O21" s="11"/>
      <c r="P21" s="11"/>
      <c r="Q21" s="11"/>
      <c r="R21" s="11"/>
      <c r="S21" s="11"/>
      <c r="T21" s="11"/>
      <c r="U21" s="11"/>
      <c r="V21" s="11"/>
      <c r="W21" s="11"/>
      <c r="X21" s="11"/>
      <c r="Y21"/>
      <c r="Z21"/>
      <c r="AB21" s="11"/>
      <c r="AC21" s="11"/>
      <c r="AD21" s="11"/>
      <c r="AE21" s="11"/>
      <c r="AF21" s="11"/>
      <c r="AG21"/>
      <c r="AH21"/>
      <c r="AI21"/>
      <c r="AJ21"/>
      <c r="AK21"/>
      <c r="AL21"/>
      <c r="AM21"/>
      <c r="AN21"/>
      <c r="AO21"/>
      <c r="AP21"/>
      <c r="AQ21"/>
      <c r="AR21"/>
      <c r="AS21"/>
      <c r="AT21"/>
      <c r="AU21"/>
      <c r="AV21"/>
      <c r="AW21"/>
      <c r="AX21"/>
      <c r="AY21"/>
      <c r="AZ21"/>
    </row>
    <row r="22" spans="2:52" s="5" customFormat="1" ht="7.5" customHeight="1">
      <c r="B22" s="11"/>
      <c r="C22" s="11"/>
      <c r="D22" s="11"/>
      <c r="E22" s="11"/>
      <c r="F22" s="11"/>
      <c r="G22"/>
      <c r="H22"/>
      <c r="I22"/>
      <c r="J22"/>
      <c r="K22"/>
      <c r="M22" s="11"/>
      <c r="N22" s="11"/>
      <c r="O22" s="11"/>
      <c r="P22" s="11"/>
      <c r="Q22" s="11"/>
      <c r="R22" s="11"/>
      <c r="S22" s="11"/>
      <c r="T22" s="11"/>
      <c r="U22" s="11"/>
      <c r="V22" s="11"/>
      <c r="W22" s="11"/>
      <c r="X22" s="11"/>
      <c r="Y22"/>
      <c r="Z22"/>
      <c r="AB22" s="11"/>
      <c r="AC22" s="11"/>
      <c r="AD22" s="11"/>
      <c r="AE22" s="11"/>
      <c r="AF22" s="11"/>
      <c r="AG22"/>
      <c r="AH22"/>
      <c r="AI22"/>
      <c r="AJ22"/>
      <c r="AK22"/>
      <c r="AL22"/>
      <c r="AM22"/>
      <c r="AN22"/>
      <c r="AO22"/>
      <c r="AP22"/>
      <c r="AQ22"/>
      <c r="AR22"/>
      <c r="AS22"/>
      <c r="AT22"/>
      <c r="AU22"/>
      <c r="AV22"/>
      <c r="AW22"/>
      <c r="AX22"/>
      <c r="AY22"/>
      <c r="AZ22"/>
    </row>
    <row r="23" spans="2:52" s="5" customFormat="1" ht="27" customHeight="1">
      <c r="B23" s="11"/>
      <c r="C23" s="11"/>
      <c r="D23" s="11"/>
      <c r="E23" s="11"/>
      <c r="F23" s="11"/>
      <c r="G23"/>
      <c r="H23"/>
      <c r="I23"/>
      <c r="J23"/>
      <c r="K23"/>
      <c r="M23" s="11"/>
      <c r="N23" s="11"/>
      <c r="O23" s="11"/>
      <c r="P23" s="11"/>
      <c r="Q23" s="11"/>
      <c r="R23" s="11"/>
      <c r="S23" s="11"/>
      <c r="T23" s="11"/>
      <c r="U23" s="11"/>
      <c r="V23" s="11"/>
      <c r="W23" s="11"/>
      <c r="X23" s="11"/>
      <c r="Y23"/>
      <c r="Z23"/>
      <c r="AB23" s="11"/>
      <c r="AC23" s="11"/>
      <c r="AD23" s="11"/>
      <c r="AE23" s="11"/>
      <c r="AF23" s="11"/>
      <c r="AG23"/>
      <c r="AH23"/>
      <c r="AI23"/>
      <c r="AJ23"/>
      <c r="AK23"/>
      <c r="AL23"/>
      <c r="AM23"/>
      <c r="AN23"/>
      <c r="AO23"/>
      <c r="AP23"/>
      <c r="AQ23"/>
      <c r="AR23"/>
      <c r="AS23"/>
      <c r="AT23"/>
      <c r="AU23"/>
      <c r="AV23"/>
      <c r="AW23"/>
      <c r="AX23"/>
      <c r="AY23"/>
      <c r="AZ23"/>
    </row>
  </sheetData>
  <mergeCells count="5">
    <mergeCell ref="E1:K1"/>
    <mergeCell ref="M1:S1"/>
    <mergeCell ref="U1:AA1"/>
    <mergeCell ref="AC1:AI1"/>
    <mergeCell ref="AK1:AQ1"/>
  </mergeCells>
  <pageMargins left="0.5" right="0.5" top="0.34" bottom="0.5" header="0.3" footer="0.3"/>
  <pageSetup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24"/>
  <sheetViews>
    <sheetView showGridLines="0" zoomScale="90" zoomScaleNormal="165" zoomScaleSheetLayoutView="90" workbookViewId="0">
      <selection activeCell="N16" sqref="N16"/>
    </sheetView>
  </sheetViews>
  <sheetFormatPr defaultColWidth="11.44140625" defaultRowHeight="12.75" customHeight="1"/>
  <cols>
    <col min="1" max="1" width="11.6640625" style="11" bestFit="1" customWidth="1"/>
    <col min="2" max="6" width="5.5546875" style="11" bestFit="1" customWidth="1"/>
    <col min="7" max="8" width="5.5546875" style="11" customWidth="1"/>
    <col min="9" max="13" width="5.5546875" style="11" bestFit="1" customWidth="1"/>
    <col min="14" max="14" width="12.33203125" style="11" customWidth="1"/>
    <col min="15" max="16" width="5.5546875" style="11" bestFit="1" customWidth="1"/>
    <col min="17" max="19" width="5.5546875" style="170" bestFit="1" customWidth="1"/>
    <col min="20" max="20" width="8.44140625" style="170" customWidth="1"/>
    <col min="21" max="25" width="5.5546875" style="170" bestFit="1" customWidth="1"/>
    <col min="26" max="26" width="10.109375" style="170" customWidth="1"/>
    <col min="27" max="31" width="5.5546875" style="170" bestFit="1" customWidth="1"/>
    <col min="32" max="32" width="9.109375" style="170" customWidth="1"/>
    <col min="33" max="37" width="5.5546875" style="170" bestFit="1" customWidth="1"/>
    <col min="38" max="38" width="9.109375" style="170" customWidth="1"/>
    <col min="39" max="43" width="5.5546875" style="170" bestFit="1" customWidth="1"/>
    <col min="44" max="45" width="11.44140625" style="170"/>
    <col min="46" max="46" width="12.33203125" style="11" customWidth="1"/>
    <col min="47" max="47" width="11.6640625" style="170" customWidth="1"/>
    <col min="48" max="49" width="11.44140625" style="170"/>
  </cols>
  <sheetData>
    <row r="2" spans="1:49" s="164" customFormat="1" ht="13.2">
      <c r="A2" s="166"/>
      <c r="B2" s="340" t="s">
        <v>61</v>
      </c>
      <c r="C2" s="340"/>
      <c r="D2" s="340"/>
      <c r="E2" s="340"/>
      <c r="F2" s="340"/>
      <c r="G2" s="168"/>
      <c r="H2" s="340" t="s">
        <v>10</v>
      </c>
      <c r="I2" s="340"/>
      <c r="J2" s="340"/>
      <c r="K2" s="340"/>
      <c r="L2" s="340"/>
      <c r="M2" s="168"/>
      <c r="N2" s="340" t="s">
        <v>11</v>
      </c>
      <c r="O2" s="340"/>
      <c r="P2" s="340"/>
      <c r="Q2" s="340"/>
      <c r="R2" s="340"/>
      <c r="S2" s="168"/>
      <c r="T2" s="340" t="s">
        <v>12</v>
      </c>
      <c r="U2" s="340"/>
      <c r="V2" s="340"/>
      <c r="W2" s="340"/>
      <c r="X2" s="340"/>
      <c r="Y2" s="168"/>
      <c r="Z2" s="340" t="s">
        <v>21</v>
      </c>
      <c r="AA2" s="340"/>
      <c r="AB2" s="340"/>
      <c r="AC2" s="340"/>
      <c r="AD2" s="340"/>
      <c r="AE2" s="168"/>
      <c r="AF2" s="340" t="s">
        <v>13</v>
      </c>
      <c r="AG2" s="340"/>
      <c r="AH2" s="340"/>
      <c r="AI2" s="340"/>
      <c r="AJ2" s="340"/>
      <c r="AK2" s="168"/>
      <c r="AL2" s="340" t="s">
        <v>65</v>
      </c>
      <c r="AM2" s="340"/>
      <c r="AN2" s="340"/>
      <c r="AO2" s="340"/>
      <c r="AP2" s="340"/>
      <c r="AQ2" s="168"/>
      <c r="AR2" s="168"/>
      <c r="AS2" s="168"/>
      <c r="AT2" s="168"/>
      <c r="AU2" s="168"/>
      <c r="AV2" s="168"/>
      <c r="AW2" s="168"/>
    </row>
    <row r="3" spans="1:49" s="162" customFormat="1" ht="13.2">
      <c r="B3" s="167">
        <v>2008</v>
      </c>
      <c r="C3" s="167">
        <v>2009</v>
      </c>
      <c r="D3" s="167">
        <v>2010</v>
      </c>
      <c r="E3" s="167">
        <v>2011</v>
      </c>
      <c r="F3" s="167">
        <v>2012</v>
      </c>
      <c r="G3" s="167"/>
      <c r="H3" s="167">
        <v>2008</v>
      </c>
      <c r="I3" s="167">
        <v>2009</v>
      </c>
      <c r="J3" s="167">
        <v>2010</v>
      </c>
      <c r="K3" s="167">
        <v>2011</v>
      </c>
      <c r="L3" s="167">
        <v>2012</v>
      </c>
      <c r="M3" s="167"/>
      <c r="N3" s="167">
        <v>2008</v>
      </c>
      <c r="O3" s="167">
        <v>2009</v>
      </c>
      <c r="P3" s="167">
        <v>2010</v>
      </c>
      <c r="Q3" s="167">
        <v>2011</v>
      </c>
      <c r="R3" s="167">
        <v>2012</v>
      </c>
      <c r="S3" s="167"/>
      <c r="T3" s="167">
        <v>2008</v>
      </c>
      <c r="U3" s="167">
        <v>2009</v>
      </c>
      <c r="V3" s="167">
        <v>2010</v>
      </c>
      <c r="W3" s="167">
        <v>2011</v>
      </c>
      <c r="X3" s="167">
        <v>2012</v>
      </c>
      <c r="Y3" s="167"/>
      <c r="Z3" s="167">
        <v>2008</v>
      </c>
      <c r="AA3" s="167">
        <v>2009</v>
      </c>
      <c r="AB3" s="167">
        <v>2010</v>
      </c>
      <c r="AC3" s="167">
        <v>2011</v>
      </c>
      <c r="AD3" s="167">
        <v>2012</v>
      </c>
      <c r="AE3" s="167"/>
      <c r="AF3" s="167">
        <v>2008</v>
      </c>
      <c r="AG3" s="167">
        <v>2009</v>
      </c>
      <c r="AH3" s="167">
        <v>2010</v>
      </c>
      <c r="AI3" s="167">
        <v>2011</v>
      </c>
      <c r="AJ3" s="167">
        <v>2012</v>
      </c>
      <c r="AK3" s="167"/>
      <c r="AL3" s="167">
        <v>2008</v>
      </c>
      <c r="AM3" s="167">
        <v>2009</v>
      </c>
      <c r="AN3" s="167">
        <v>2010</v>
      </c>
      <c r="AO3" s="167">
        <v>2011</v>
      </c>
      <c r="AP3" s="167">
        <v>2012</v>
      </c>
      <c r="AQ3" s="167"/>
      <c r="AR3" s="167"/>
      <c r="AS3" s="167"/>
      <c r="AT3" s="167"/>
      <c r="AU3" s="167"/>
      <c r="AV3" s="167"/>
      <c r="AW3" s="167"/>
    </row>
    <row r="4" spans="1:49" s="2" customFormat="1" ht="13.2">
      <c r="A4" s="161" t="s">
        <v>63</v>
      </c>
      <c r="B4" s="103">
        <v>31.8</v>
      </c>
      <c r="C4" s="103">
        <v>32.9</v>
      </c>
      <c r="D4" s="103">
        <v>35.6</v>
      </c>
      <c r="E4" s="103">
        <v>35</v>
      </c>
      <c r="F4" s="103">
        <v>36.5</v>
      </c>
      <c r="G4" s="103"/>
      <c r="H4" s="103">
        <v>68.900000000000006</v>
      </c>
      <c r="I4" s="103">
        <v>63.7</v>
      </c>
      <c r="J4" s="103">
        <v>56.2</v>
      </c>
      <c r="K4" s="103">
        <v>59.1</v>
      </c>
      <c r="L4" s="103">
        <v>57.8</v>
      </c>
      <c r="M4" s="103"/>
      <c r="N4" s="103">
        <v>27.4</v>
      </c>
      <c r="O4" s="103">
        <v>31</v>
      </c>
      <c r="P4" s="103">
        <v>30.7</v>
      </c>
      <c r="Q4" s="103">
        <v>29.5</v>
      </c>
      <c r="R4" s="103">
        <v>28.6</v>
      </c>
      <c r="S4" s="103"/>
      <c r="T4" s="103">
        <v>30.8</v>
      </c>
      <c r="U4" s="103">
        <v>33.299999999999997</v>
      </c>
      <c r="V4" s="103">
        <v>34.9</v>
      </c>
      <c r="W4" s="103">
        <v>36.299999999999997</v>
      </c>
      <c r="X4" s="103">
        <v>37</v>
      </c>
      <c r="Y4" s="103"/>
      <c r="Z4" s="103">
        <v>33.799999999999997</v>
      </c>
      <c r="AA4" s="103">
        <v>32.799999999999997</v>
      </c>
      <c r="AB4" s="103">
        <v>35.299999999999997</v>
      </c>
      <c r="AC4" s="103">
        <v>40.799999999999997</v>
      </c>
      <c r="AD4" s="103">
        <v>43.1</v>
      </c>
      <c r="AE4" s="103"/>
      <c r="AF4" s="103">
        <v>35.700000000000003</v>
      </c>
      <c r="AG4" s="103">
        <v>36.9</v>
      </c>
      <c r="AH4" s="103">
        <v>36</v>
      </c>
      <c r="AI4" s="103">
        <v>36.4</v>
      </c>
      <c r="AJ4" s="103">
        <v>35.700000000000003</v>
      </c>
      <c r="AK4" s="103"/>
      <c r="AL4" s="103">
        <v>35.1</v>
      </c>
      <c r="AM4" s="103">
        <v>36.299999999999997</v>
      </c>
      <c r="AN4" s="103">
        <v>36.4</v>
      </c>
      <c r="AO4" s="103">
        <v>37.4</v>
      </c>
      <c r="AP4" s="103">
        <v>37.200000000000003</v>
      </c>
      <c r="AQ4" s="103"/>
      <c r="AR4" s="103"/>
      <c r="AS4" s="103"/>
      <c r="AT4" s="103"/>
      <c r="AU4" s="103"/>
      <c r="AV4" s="103"/>
      <c r="AW4" s="103"/>
    </row>
    <row r="5" spans="1:49" s="2" customFormat="1" ht="13.2">
      <c r="A5" s="161" t="s">
        <v>64</v>
      </c>
      <c r="B5" s="103">
        <v>8.4</v>
      </c>
      <c r="C5" s="103">
        <v>9.3000000000000007</v>
      </c>
      <c r="D5" s="103">
        <v>9.3000000000000007</v>
      </c>
      <c r="E5" s="103">
        <v>9.1999999999999993</v>
      </c>
      <c r="F5" s="103">
        <v>10</v>
      </c>
      <c r="G5" s="103"/>
      <c r="H5" s="103">
        <v>23.3</v>
      </c>
      <c r="I5" s="103">
        <v>22.8</v>
      </c>
      <c r="J5" s="103">
        <v>21.7</v>
      </c>
      <c r="K5" s="103">
        <v>20.7</v>
      </c>
      <c r="L5" s="103">
        <v>17.3</v>
      </c>
      <c r="M5" s="103"/>
      <c r="N5" s="103">
        <v>8.1</v>
      </c>
      <c r="O5" s="103">
        <v>8.6999999999999993</v>
      </c>
      <c r="P5" s="103">
        <v>9.1</v>
      </c>
      <c r="Q5" s="103">
        <v>8.3000000000000007</v>
      </c>
      <c r="R5" s="103">
        <v>8.1</v>
      </c>
      <c r="S5" s="103"/>
      <c r="T5" s="103">
        <v>11.8</v>
      </c>
      <c r="U5" s="103">
        <v>12.9</v>
      </c>
      <c r="V5" s="103">
        <v>13.2</v>
      </c>
      <c r="W5" s="103">
        <v>13.2</v>
      </c>
      <c r="X5" s="103">
        <v>14.1</v>
      </c>
      <c r="Y5" s="103"/>
      <c r="Z5" s="103">
        <v>9.4</v>
      </c>
      <c r="AA5" s="103">
        <v>10.3</v>
      </c>
      <c r="AB5" s="103">
        <v>10.3</v>
      </c>
      <c r="AC5" s="103">
        <v>10.1</v>
      </c>
      <c r="AD5" s="103">
        <v>9.3000000000000007</v>
      </c>
      <c r="AE5" s="103"/>
      <c r="AF5" s="103">
        <v>12.1</v>
      </c>
      <c r="AG5" s="103">
        <v>12.8</v>
      </c>
      <c r="AH5" s="103">
        <v>13</v>
      </c>
      <c r="AI5" s="103">
        <v>12.7</v>
      </c>
      <c r="AJ5" s="103">
        <v>11.8</v>
      </c>
      <c r="AK5" s="103"/>
      <c r="AL5" s="103">
        <v>11.1</v>
      </c>
      <c r="AM5" s="103">
        <v>12</v>
      </c>
      <c r="AN5" s="103">
        <v>12</v>
      </c>
      <c r="AO5" s="103">
        <v>11.7</v>
      </c>
      <c r="AP5" s="103">
        <v>11.4</v>
      </c>
      <c r="AQ5" s="103"/>
      <c r="AR5" s="103"/>
      <c r="AS5" s="103"/>
      <c r="AT5" s="103"/>
      <c r="AU5" s="103"/>
      <c r="AV5" s="103"/>
      <c r="AW5" s="103"/>
    </row>
    <row r="6" spans="1:49" s="2" customFormat="1" ht="30.75" hidden="1" customHeight="1">
      <c r="A6" s="159" t="s">
        <v>53</v>
      </c>
      <c r="B6" s="103">
        <v>32.9</v>
      </c>
      <c r="C6" s="169"/>
      <c r="D6" s="169"/>
      <c r="E6" s="19"/>
      <c r="F6" s="103"/>
      <c r="G6" s="103"/>
      <c r="H6" s="103"/>
      <c r="I6" s="103"/>
      <c r="J6" s="103">
        <v>63.7</v>
      </c>
      <c r="K6" s="103"/>
      <c r="L6" s="103"/>
      <c r="M6" s="103"/>
      <c r="N6" s="103"/>
      <c r="O6" s="103"/>
      <c r="P6" s="103"/>
      <c r="Q6" s="103">
        <v>31</v>
      </c>
      <c r="R6" s="103"/>
      <c r="S6" s="103"/>
      <c r="T6" s="103"/>
      <c r="U6" s="103"/>
      <c r="V6" s="103"/>
      <c r="W6" s="103"/>
      <c r="X6" s="103">
        <v>33.299999999999997</v>
      </c>
      <c r="Y6" s="103"/>
      <c r="Z6" s="103"/>
      <c r="AA6" s="103"/>
      <c r="AB6" s="103"/>
      <c r="AC6" s="103"/>
      <c r="AD6" s="103"/>
      <c r="AE6" s="103">
        <v>32.799999999999997</v>
      </c>
      <c r="AF6" s="103"/>
      <c r="AG6" s="103"/>
      <c r="AH6" s="103"/>
      <c r="AI6" s="103"/>
      <c r="AJ6" s="103"/>
      <c r="AK6" s="103"/>
      <c r="AL6" s="103"/>
      <c r="AM6" s="103">
        <v>36.9</v>
      </c>
      <c r="AN6" s="103"/>
      <c r="AO6" s="103"/>
      <c r="AP6" s="103"/>
      <c r="AQ6" s="103"/>
      <c r="AR6" s="103"/>
      <c r="AS6" s="103">
        <v>36.299999999999997</v>
      </c>
      <c r="AT6" s="7"/>
      <c r="AU6" s="19"/>
      <c r="AV6" s="169"/>
      <c r="AW6" s="169"/>
    </row>
    <row r="7" spans="1:49" s="2" customFormat="1" ht="30.75" hidden="1" customHeight="1">
      <c r="A7" s="159" t="s">
        <v>54</v>
      </c>
      <c r="B7" s="103">
        <v>9.3000000000000007</v>
      </c>
      <c r="C7" s="103"/>
      <c r="D7" s="169"/>
      <c r="E7" s="19"/>
      <c r="F7" s="103"/>
      <c r="G7" s="103"/>
      <c r="H7" s="103"/>
      <c r="I7" s="103"/>
      <c r="J7" s="103">
        <v>22.8</v>
      </c>
      <c r="K7" s="103"/>
      <c r="L7" s="103"/>
      <c r="M7" s="103"/>
      <c r="N7" s="103"/>
      <c r="O7" s="103"/>
      <c r="P7" s="103"/>
      <c r="Q7" s="103">
        <v>8.6999999999999993</v>
      </c>
      <c r="R7" s="103"/>
      <c r="S7" s="103"/>
      <c r="T7" s="103"/>
      <c r="U7" s="103"/>
      <c r="V7" s="103"/>
      <c r="W7" s="103"/>
      <c r="X7" s="103">
        <v>12.9</v>
      </c>
      <c r="Y7" s="103"/>
      <c r="Z7" s="103"/>
      <c r="AA7" s="103"/>
      <c r="AB7" s="103"/>
      <c r="AC7" s="103"/>
      <c r="AD7" s="103"/>
      <c r="AE7" s="103">
        <v>10.3</v>
      </c>
      <c r="AF7" s="103"/>
      <c r="AG7" s="103"/>
      <c r="AH7" s="103"/>
      <c r="AI7" s="103"/>
      <c r="AJ7" s="103"/>
      <c r="AK7" s="103"/>
      <c r="AL7" s="103"/>
      <c r="AM7" s="103">
        <v>12.8</v>
      </c>
      <c r="AN7" s="103"/>
      <c r="AO7" s="103"/>
      <c r="AP7" s="103"/>
      <c r="AQ7" s="103"/>
      <c r="AR7" s="103"/>
      <c r="AS7" s="103">
        <v>12</v>
      </c>
      <c r="AT7" s="7"/>
      <c r="AU7" s="19"/>
      <c r="AV7" s="169"/>
      <c r="AW7" s="169"/>
    </row>
    <row r="8" spans="1:49" s="2" customFormat="1" ht="30.75" hidden="1" customHeight="1">
      <c r="A8" s="159" t="s">
        <v>55</v>
      </c>
      <c r="B8" s="103">
        <v>35.6</v>
      </c>
      <c r="C8" s="169"/>
      <c r="D8" s="169"/>
      <c r="E8" s="19"/>
      <c r="F8" s="103"/>
      <c r="G8" s="103"/>
      <c r="H8" s="103"/>
      <c r="I8" s="103"/>
      <c r="J8" s="103">
        <v>56.2</v>
      </c>
      <c r="K8" s="103"/>
      <c r="L8" s="103"/>
      <c r="M8" s="103"/>
      <c r="N8" s="103"/>
      <c r="O8" s="103"/>
      <c r="P8" s="103"/>
      <c r="Q8" s="103">
        <v>30.7</v>
      </c>
      <c r="R8" s="103"/>
      <c r="S8" s="103"/>
      <c r="T8" s="103"/>
      <c r="U8" s="103"/>
      <c r="V8" s="103"/>
      <c r="W8" s="103"/>
      <c r="X8" s="103">
        <v>34.9</v>
      </c>
      <c r="Y8" s="103"/>
      <c r="Z8" s="103"/>
      <c r="AA8" s="103"/>
      <c r="AB8" s="103"/>
      <c r="AC8" s="103"/>
      <c r="AD8" s="103"/>
      <c r="AE8" s="103">
        <v>35.299999999999997</v>
      </c>
      <c r="AF8" s="103"/>
      <c r="AG8" s="103"/>
      <c r="AH8" s="103"/>
      <c r="AI8" s="103"/>
      <c r="AJ8" s="103"/>
      <c r="AK8" s="103"/>
      <c r="AL8" s="103"/>
      <c r="AM8" s="103">
        <v>36</v>
      </c>
      <c r="AN8" s="103"/>
      <c r="AO8" s="103"/>
      <c r="AP8" s="103"/>
      <c r="AQ8" s="103"/>
      <c r="AR8" s="103"/>
      <c r="AS8" s="103">
        <v>36.4</v>
      </c>
      <c r="AT8" s="7"/>
      <c r="AU8" s="19"/>
      <c r="AV8" s="169"/>
      <c r="AW8" s="169"/>
    </row>
    <row r="9" spans="1:49" s="2" customFormat="1" ht="30.75" hidden="1" customHeight="1">
      <c r="A9" s="159" t="s">
        <v>56</v>
      </c>
      <c r="B9" s="103">
        <v>9.3000000000000007</v>
      </c>
      <c r="C9" s="103"/>
      <c r="D9" s="169"/>
      <c r="E9" s="19"/>
      <c r="F9" s="103"/>
      <c r="G9" s="103"/>
      <c r="H9" s="103"/>
      <c r="I9" s="103"/>
      <c r="J9" s="103">
        <v>21.7</v>
      </c>
      <c r="K9" s="103"/>
      <c r="L9" s="103"/>
      <c r="M9" s="103"/>
      <c r="N9" s="103"/>
      <c r="O9" s="103"/>
      <c r="P9" s="103"/>
      <c r="Q9" s="103">
        <v>9.1</v>
      </c>
      <c r="R9" s="103"/>
      <c r="S9" s="103"/>
      <c r="T9" s="103"/>
      <c r="U9" s="103"/>
      <c r="V9" s="103"/>
      <c r="W9" s="103"/>
      <c r="X9" s="103">
        <v>13.2</v>
      </c>
      <c r="Y9" s="103"/>
      <c r="Z9" s="103"/>
      <c r="AA9" s="103"/>
      <c r="AB9" s="103"/>
      <c r="AC9" s="103"/>
      <c r="AD9" s="103"/>
      <c r="AE9" s="103">
        <v>10.3</v>
      </c>
      <c r="AF9" s="103"/>
      <c r="AG9" s="103"/>
      <c r="AH9" s="103"/>
      <c r="AI9" s="103"/>
      <c r="AJ9" s="103"/>
      <c r="AK9" s="103"/>
      <c r="AL9" s="103"/>
      <c r="AM9" s="103">
        <v>13</v>
      </c>
      <c r="AN9" s="103"/>
      <c r="AO9" s="103"/>
      <c r="AP9" s="103"/>
      <c r="AQ9" s="103"/>
      <c r="AR9" s="103"/>
      <c r="AS9" s="103">
        <v>12</v>
      </c>
      <c r="AT9" s="7"/>
      <c r="AU9" s="19"/>
      <c r="AV9" s="169"/>
      <c r="AW9" s="169"/>
    </row>
    <row r="10" spans="1:49" s="2" customFormat="1" ht="30.75" hidden="1" customHeight="1">
      <c r="A10" s="159" t="s">
        <v>57</v>
      </c>
      <c r="B10" s="103">
        <v>35</v>
      </c>
      <c r="C10" s="169"/>
      <c r="D10" s="169"/>
      <c r="E10" s="19"/>
      <c r="F10" s="103"/>
      <c r="G10" s="103"/>
      <c r="H10" s="103"/>
      <c r="I10" s="103"/>
      <c r="J10" s="103">
        <v>59.1</v>
      </c>
      <c r="K10" s="103"/>
      <c r="L10" s="103"/>
      <c r="M10" s="103"/>
      <c r="N10" s="103"/>
      <c r="O10" s="103"/>
      <c r="P10" s="103"/>
      <c r="Q10" s="103">
        <v>29.5</v>
      </c>
      <c r="R10" s="103"/>
      <c r="S10" s="103"/>
      <c r="T10" s="103"/>
      <c r="U10" s="103"/>
      <c r="V10" s="103"/>
      <c r="W10" s="103"/>
      <c r="X10" s="103">
        <v>36.299999999999997</v>
      </c>
      <c r="Y10" s="103"/>
      <c r="Z10" s="103"/>
      <c r="AA10" s="103"/>
      <c r="AB10" s="103"/>
      <c r="AC10" s="103"/>
      <c r="AD10" s="103"/>
      <c r="AE10" s="103">
        <v>40.799999999999997</v>
      </c>
      <c r="AF10" s="103"/>
      <c r="AG10" s="103"/>
      <c r="AH10" s="103"/>
      <c r="AI10" s="103"/>
      <c r="AJ10" s="103"/>
      <c r="AK10" s="103"/>
      <c r="AL10" s="103"/>
      <c r="AM10" s="103">
        <v>36.4</v>
      </c>
      <c r="AN10" s="103"/>
      <c r="AO10" s="103"/>
      <c r="AP10" s="103"/>
      <c r="AQ10" s="103"/>
      <c r="AR10" s="103"/>
      <c r="AS10" s="103">
        <v>37.4</v>
      </c>
      <c r="AT10" s="7"/>
      <c r="AU10" s="19"/>
      <c r="AV10" s="169"/>
      <c r="AW10" s="169"/>
    </row>
    <row r="11" spans="1:49" s="2" customFormat="1" ht="30.75" hidden="1" customHeight="1">
      <c r="A11" s="159" t="s">
        <v>58</v>
      </c>
      <c r="B11" s="103">
        <v>9.1999999999999993</v>
      </c>
      <c r="C11" s="103"/>
      <c r="D11" s="169"/>
      <c r="E11" s="19"/>
      <c r="F11" s="103"/>
      <c r="G11" s="103"/>
      <c r="H11" s="103"/>
      <c r="I11" s="103"/>
      <c r="J11" s="103">
        <v>20.7</v>
      </c>
      <c r="K11" s="103"/>
      <c r="L11" s="103"/>
      <c r="M11" s="103"/>
      <c r="N11" s="103"/>
      <c r="O11" s="103"/>
      <c r="P11" s="103"/>
      <c r="Q11" s="103">
        <v>8.3000000000000007</v>
      </c>
      <c r="R11" s="103"/>
      <c r="S11" s="103"/>
      <c r="T11" s="103"/>
      <c r="U11" s="103"/>
      <c r="V11" s="103"/>
      <c r="W11" s="103"/>
      <c r="X11" s="103">
        <v>13.2</v>
      </c>
      <c r="Y11" s="103"/>
      <c r="Z11" s="103"/>
      <c r="AA11" s="103"/>
      <c r="AB11" s="103"/>
      <c r="AC11" s="103"/>
      <c r="AD11" s="103"/>
      <c r="AE11" s="103">
        <v>10.1</v>
      </c>
      <c r="AF11" s="103"/>
      <c r="AG11" s="103"/>
      <c r="AH11" s="103"/>
      <c r="AI11" s="103"/>
      <c r="AJ11" s="103"/>
      <c r="AK11" s="103"/>
      <c r="AL11" s="103"/>
      <c r="AM11" s="103">
        <v>12.7</v>
      </c>
      <c r="AN11" s="103"/>
      <c r="AO11" s="103"/>
      <c r="AP11" s="103"/>
      <c r="AQ11" s="103"/>
      <c r="AR11" s="103"/>
      <c r="AS11" s="103">
        <v>11.7</v>
      </c>
      <c r="AT11" s="7"/>
      <c r="AU11" s="19"/>
      <c r="AV11" s="169"/>
      <c r="AW11" s="169"/>
    </row>
    <row r="12" spans="1:49" s="2" customFormat="1" ht="30.75" hidden="1" customHeight="1">
      <c r="A12" s="159" t="s">
        <v>59</v>
      </c>
      <c r="B12" s="103">
        <v>36.5</v>
      </c>
      <c r="C12" s="169"/>
      <c r="D12" s="169"/>
      <c r="E12" s="19"/>
      <c r="F12" s="103"/>
      <c r="G12" s="103"/>
      <c r="H12" s="103"/>
      <c r="I12" s="103"/>
      <c r="J12" s="103">
        <v>57.8</v>
      </c>
      <c r="K12" s="103"/>
      <c r="L12" s="103"/>
      <c r="M12" s="103"/>
      <c r="N12" s="103"/>
      <c r="O12" s="103"/>
      <c r="P12" s="103"/>
      <c r="Q12" s="103">
        <v>28.6</v>
      </c>
      <c r="R12" s="103"/>
      <c r="S12" s="103"/>
      <c r="T12" s="103"/>
      <c r="U12" s="103"/>
      <c r="V12" s="103"/>
      <c r="W12" s="103"/>
      <c r="X12" s="103">
        <v>37</v>
      </c>
      <c r="Y12" s="103"/>
      <c r="Z12" s="103"/>
      <c r="AA12" s="103"/>
      <c r="AB12" s="103"/>
      <c r="AC12" s="103"/>
      <c r="AD12" s="103"/>
      <c r="AE12" s="103">
        <v>43.1</v>
      </c>
      <c r="AF12" s="103"/>
      <c r="AG12" s="103"/>
      <c r="AH12" s="103"/>
      <c r="AI12" s="103"/>
      <c r="AJ12" s="103"/>
      <c r="AK12" s="103"/>
      <c r="AL12" s="103"/>
      <c r="AM12" s="103">
        <v>35.700000000000003</v>
      </c>
      <c r="AN12" s="103"/>
      <c r="AO12" s="103"/>
      <c r="AP12" s="103"/>
      <c r="AQ12" s="103"/>
      <c r="AR12" s="103"/>
      <c r="AS12" s="103">
        <v>37.200000000000003</v>
      </c>
      <c r="AT12" s="7"/>
      <c r="AU12" s="19"/>
      <c r="AV12" s="169"/>
      <c r="AW12" s="169"/>
    </row>
    <row r="13" spans="1:49" ht="13.2" hidden="1">
      <c r="A13" s="159" t="s">
        <v>60</v>
      </c>
      <c r="B13" s="103">
        <v>10</v>
      </c>
      <c r="D13" s="170"/>
      <c r="E13" s="19"/>
      <c r="F13" s="103"/>
      <c r="G13" s="103"/>
      <c r="H13" s="103"/>
      <c r="I13" s="103"/>
      <c r="J13" s="103">
        <v>17.3</v>
      </c>
      <c r="K13" s="103"/>
      <c r="L13" s="103"/>
      <c r="M13" s="103"/>
      <c r="N13" s="103"/>
      <c r="O13" s="103"/>
      <c r="P13" s="103"/>
      <c r="Q13" s="103">
        <v>8.1</v>
      </c>
      <c r="R13" s="103"/>
      <c r="S13" s="103"/>
      <c r="T13" s="103"/>
      <c r="U13" s="103"/>
      <c r="V13" s="103"/>
      <c r="W13" s="103"/>
      <c r="X13" s="103">
        <v>14.1</v>
      </c>
      <c r="Y13" s="103"/>
      <c r="Z13" s="103"/>
      <c r="AA13" s="103"/>
      <c r="AB13" s="103"/>
      <c r="AC13" s="103"/>
      <c r="AD13" s="103"/>
      <c r="AE13" s="103">
        <v>9.3000000000000007</v>
      </c>
      <c r="AF13" s="103"/>
      <c r="AG13" s="103"/>
      <c r="AH13" s="103"/>
      <c r="AI13" s="103"/>
      <c r="AJ13" s="103"/>
      <c r="AK13" s="103"/>
      <c r="AL13" s="103"/>
      <c r="AM13" s="103">
        <v>11.8</v>
      </c>
      <c r="AN13" s="103"/>
      <c r="AO13" s="103"/>
      <c r="AP13" s="103"/>
      <c r="AQ13" s="103"/>
      <c r="AR13" s="103"/>
      <c r="AS13" s="103">
        <v>11.4</v>
      </c>
      <c r="AU13" s="19"/>
    </row>
    <row r="14" spans="1:49" ht="39" customHeight="1"/>
    <row r="19" spans="1:58" s="5" customFormat="1" ht="27" customHeight="1">
      <c r="A19" s="11"/>
      <c r="B19" s="11"/>
      <c r="C19" s="11"/>
      <c r="D19" s="11"/>
      <c r="E19" s="11"/>
      <c r="F19" s="11"/>
      <c r="G19" s="11"/>
      <c r="H19" s="11"/>
      <c r="I19" s="11"/>
      <c r="J19" s="11"/>
      <c r="K19" s="11"/>
      <c r="L19" s="11"/>
      <c r="M19" s="11"/>
      <c r="N19" s="11"/>
      <c r="O19" s="11"/>
      <c r="P19" s="11"/>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1"/>
      <c r="AU19" s="170"/>
      <c r="AV19" s="170"/>
      <c r="AW19" s="170"/>
      <c r="AX19"/>
      <c r="AY19"/>
      <c r="AZ19"/>
      <c r="BA19"/>
      <c r="BB19"/>
      <c r="BC19"/>
      <c r="BD19"/>
      <c r="BE19"/>
      <c r="BF19"/>
    </row>
    <row r="20" spans="1:58" s="5" customFormat="1" ht="27" customHeight="1">
      <c r="A20" s="11"/>
      <c r="B20" s="11"/>
      <c r="C20" s="11"/>
      <c r="D20" s="11"/>
      <c r="E20" s="11"/>
      <c r="F20" s="11"/>
      <c r="G20" s="11"/>
      <c r="H20" s="11"/>
      <c r="I20" s="11"/>
      <c r="J20" s="11"/>
      <c r="K20" s="11"/>
      <c r="L20" s="11"/>
      <c r="M20" s="11"/>
      <c r="N20" s="11"/>
      <c r="O20" s="11"/>
      <c r="P20" s="11"/>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1"/>
      <c r="AU20" s="170"/>
      <c r="AV20" s="170"/>
      <c r="AW20" s="170"/>
      <c r="AX20"/>
      <c r="AY20"/>
      <c r="AZ20"/>
      <c r="BA20"/>
      <c r="BB20"/>
      <c r="BC20"/>
      <c r="BD20"/>
      <c r="BE20"/>
      <c r="BF20"/>
    </row>
    <row r="21" spans="1:58" s="5" customFormat="1" ht="27" customHeight="1">
      <c r="A21" s="11"/>
      <c r="B21" s="11"/>
      <c r="C21" s="11"/>
      <c r="D21" s="11"/>
      <c r="E21" s="11"/>
      <c r="F21" s="11"/>
      <c r="G21" s="11"/>
      <c r="H21" s="11"/>
      <c r="I21" s="11"/>
      <c r="J21" s="11"/>
      <c r="K21" s="11"/>
      <c r="L21" s="11"/>
      <c r="M21" s="11"/>
      <c r="N21" s="11"/>
      <c r="O21" s="11"/>
      <c r="P21" s="11"/>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1"/>
      <c r="AU21" s="170"/>
      <c r="AV21" s="170"/>
      <c r="AW21" s="170"/>
      <c r="AX21"/>
      <c r="AY21"/>
      <c r="AZ21"/>
      <c r="BA21"/>
      <c r="BB21"/>
      <c r="BC21"/>
      <c r="BD21"/>
      <c r="BE21"/>
      <c r="BF21"/>
    </row>
    <row r="22" spans="1:58" s="5" customFormat="1" ht="7.5" customHeight="1">
      <c r="A22" s="11"/>
      <c r="B22" s="11"/>
      <c r="C22" s="11"/>
      <c r="D22" s="11"/>
      <c r="E22" s="11"/>
      <c r="F22" s="11"/>
      <c r="G22" s="11"/>
      <c r="H22" s="11"/>
      <c r="I22" s="11"/>
      <c r="J22" s="11"/>
      <c r="K22" s="11"/>
      <c r="L22" s="11"/>
      <c r="M22" s="11"/>
      <c r="N22" s="11"/>
      <c r="O22" s="11"/>
      <c r="P22" s="11"/>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1"/>
      <c r="AU22" s="170"/>
      <c r="AV22" s="170"/>
      <c r="AW22" s="170"/>
      <c r="AX22"/>
      <c r="AY22"/>
      <c r="AZ22"/>
      <c r="BA22"/>
      <c r="BB22"/>
      <c r="BC22"/>
      <c r="BD22"/>
      <c r="BE22"/>
      <c r="BF22"/>
    </row>
    <row r="23" spans="1:58" s="5" customFormat="1" ht="7.5" customHeight="1">
      <c r="A23" s="11"/>
      <c r="B23" s="11"/>
      <c r="C23" s="11"/>
      <c r="D23" s="11"/>
      <c r="E23" s="11"/>
      <c r="F23" s="11"/>
      <c r="G23" s="11"/>
      <c r="H23" s="11"/>
      <c r="I23" s="11"/>
      <c r="J23" s="11"/>
      <c r="K23" s="11"/>
      <c r="L23" s="11"/>
      <c r="M23" s="11"/>
      <c r="N23" s="11"/>
      <c r="O23" s="11"/>
      <c r="P23" s="11"/>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1"/>
      <c r="AU23" s="170"/>
      <c r="AV23" s="170"/>
      <c r="AW23" s="170"/>
      <c r="AX23"/>
      <c r="AY23"/>
      <c r="AZ23"/>
      <c r="BA23"/>
      <c r="BB23"/>
      <c r="BC23"/>
      <c r="BD23"/>
      <c r="BE23"/>
      <c r="BF23"/>
    </row>
    <row r="24" spans="1:58" s="5" customFormat="1" ht="27" customHeight="1">
      <c r="A24" s="11"/>
      <c r="B24" s="11"/>
      <c r="C24" s="11"/>
      <c r="D24" s="11"/>
      <c r="E24" s="11"/>
      <c r="F24" s="11"/>
      <c r="G24" s="11"/>
      <c r="H24" s="11"/>
      <c r="I24" s="11"/>
      <c r="J24" s="11"/>
      <c r="K24" s="11"/>
      <c r="L24" s="11"/>
      <c r="M24" s="11"/>
      <c r="N24" s="11"/>
      <c r="O24" s="11"/>
      <c r="P24" s="11"/>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1"/>
      <c r="AU24" s="170"/>
      <c r="AV24" s="170"/>
      <c r="AW24" s="170"/>
      <c r="AX24"/>
      <c r="AY24"/>
      <c r="AZ24"/>
      <c r="BA24"/>
      <c r="BB24"/>
      <c r="BC24"/>
      <c r="BD24"/>
      <c r="BE24"/>
      <c r="BF24"/>
    </row>
  </sheetData>
  <mergeCells count="7">
    <mergeCell ref="AF2:AJ2"/>
    <mergeCell ref="AL2:AP2"/>
    <mergeCell ref="B2:F2"/>
    <mergeCell ref="H2:L2"/>
    <mergeCell ref="N2:R2"/>
    <mergeCell ref="T2:X2"/>
    <mergeCell ref="Z2:AD2"/>
  </mergeCells>
  <pageMargins left="0.5" right="0.5" top="0.34" bottom="0.5" header="0.3" footer="0.3"/>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Average Section Size </vt:lpstr>
      <vt:lpstr>Ave Section Calc </vt:lpstr>
      <vt:lpstr>Data for UG graph</vt:lpstr>
      <vt:lpstr>Data for Grad Graph</vt:lpstr>
      <vt:lpstr>Keep1</vt:lpstr>
      <vt:lpstr>Keep2</vt:lpstr>
      <vt:lpstr>Keep3</vt:lpstr>
      <vt:lpstr>'Ave Section Calc '!Print_Area</vt:lpstr>
      <vt:lpstr>'Average Section Size '!Print_Area</vt:lpstr>
      <vt:lpstr>'Data for UG graph'!Print_Area</vt:lpstr>
      <vt:lpstr>Keep1!Print_Area</vt:lpstr>
      <vt:lpstr>Keep2!Print_Area</vt:lpstr>
      <vt:lpstr>Keep3!Print_Area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Dobbe, Nadine K [I RES]</dc:creator>
  <cp:lastModifiedBy>Andringa, Chris [I RES]</cp:lastModifiedBy>
  <cp:lastPrinted>2021-02-10T15:54:52Z</cp:lastPrinted>
  <dcterms:created xsi:type="dcterms:W3CDTF">1999-06-23T16:04:43Z</dcterms:created>
  <dcterms:modified xsi:type="dcterms:W3CDTF">2022-05-25T13:28:04Z</dcterms:modified>
</cp:coreProperties>
</file>