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H:\IR Staff\!Nadine\Fact Book Pages NKD\Fact Book 2018-2019 NKD\FB 2018-2019 pages wkg NKD\"/>
    </mc:Choice>
  </mc:AlternateContent>
  <bookViews>
    <workbookView xWindow="-15" yWindow="-15" windowWidth="23415" windowHeight="12945"/>
  </bookViews>
  <sheets>
    <sheet name="SCH per FTE" sheetId="1" r:id="rId1"/>
  </sheets>
  <definedNames>
    <definedName name="_xlnm.Print_Area" localSheetId="0">'SCH per FTE'!$A$1:$BM$82</definedName>
  </definedNames>
  <calcPr calcId="162913"/>
</workbook>
</file>

<file path=xl/calcChain.xml><?xml version="1.0" encoding="utf-8"?>
<calcChain xmlns="http://schemas.openxmlformats.org/spreadsheetml/2006/main">
  <c r="BK66" i="1" l="1"/>
  <c r="BJ55" i="1" l="1"/>
  <c r="BI55" i="1"/>
  <c r="BJ66" i="1"/>
  <c r="BJ50" i="1"/>
  <c r="BJ64" i="1" l="1"/>
  <c r="BJ51" i="1"/>
  <c r="BJ56" i="1" s="1"/>
  <c r="BJ48" i="1"/>
  <c r="BJ44" i="1"/>
  <c r="BJ40" i="1"/>
  <c r="BJ35" i="1"/>
  <c r="BJ31" i="1"/>
  <c r="BJ27" i="1"/>
  <c r="BJ23" i="1"/>
  <c r="BJ19" i="1"/>
  <c r="BJ15" i="1"/>
  <c r="BJ11" i="1"/>
  <c r="BJ57" i="1" l="1"/>
  <c r="BJ52" i="1"/>
  <c r="BI64" i="1"/>
  <c r="BI56" i="1"/>
  <c r="BI51" i="1"/>
  <c r="BI50" i="1"/>
  <c r="BI48" i="1"/>
  <c r="BI44" i="1"/>
  <c r="BI40" i="1"/>
  <c r="BI35" i="1"/>
  <c r="BI31" i="1"/>
  <c r="BI27" i="1"/>
  <c r="BI23" i="1"/>
  <c r="BI19" i="1"/>
  <c r="BI15" i="1"/>
  <c r="BI11" i="1"/>
  <c r="BI66" i="1" l="1"/>
  <c r="BI57" i="1"/>
  <c r="BI52" i="1"/>
  <c r="BK11" i="1"/>
  <c r="BK64" i="1" l="1"/>
  <c r="BK48" i="1"/>
  <c r="BK40" i="1"/>
  <c r="BK35" i="1"/>
  <c r="BK19" i="1"/>
  <c r="BK15" i="1"/>
  <c r="BL44" i="1" l="1"/>
  <c r="BK44" i="1"/>
  <c r="BH44" i="1"/>
  <c r="BG44" i="1"/>
  <c r="BL64" i="1"/>
  <c r="BL51" i="1"/>
  <c r="BL56" i="1" s="1"/>
  <c r="BK51" i="1"/>
  <c r="BK56" i="1"/>
  <c r="BL50" i="1"/>
  <c r="BL55" i="1" s="1"/>
  <c r="BK50" i="1"/>
  <c r="BL48" i="1"/>
  <c r="BL40" i="1"/>
  <c r="BL35" i="1"/>
  <c r="BL31" i="1"/>
  <c r="BK31" i="1"/>
  <c r="BL27" i="1"/>
  <c r="BK27" i="1"/>
  <c r="BL23" i="1"/>
  <c r="BK23" i="1"/>
  <c r="BL19" i="1"/>
  <c r="BL15" i="1"/>
  <c r="BL11" i="1"/>
  <c r="BE9" i="1"/>
  <c r="BE11" i="1" s="1"/>
  <c r="BF48" i="1"/>
  <c r="BD64" i="1"/>
  <c r="BC64" i="1"/>
  <c r="BD51" i="1"/>
  <c r="BD56" i="1"/>
  <c r="BC51" i="1"/>
  <c r="BD50" i="1"/>
  <c r="BD55" i="1" s="1"/>
  <c r="BC50" i="1"/>
  <c r="BC55" i="1"/>
  <c r="BD48" i="1"/>
  <c r="BC48" i="1"/>
  <c r="BD44" i="1"/>
  <c r="BC44" i="1"/>
  <c r="BD40" i="1"/>
  <c r="BC40" i="1"/>
  <c r="BD35" i="1"/>
  <c r="BC35" i="1"/>
  <c r="BD27" i="1"/>
  <c r="BC27" i="1"/>
  <c r="BD23" i="1"/>
  <c r="BC23" i="1"/>
  <c r="BD19" i="1"/>
  <c r="BC19" i="1"/>
  <c r="BD15" i="1"/>
  <c r="BC15" i="1"/>
  <c r="BD11" i="1"/>
  <c r="BC11" i="1"/>
  <c r="BF35" i="1"/>
  <c r="BE35" i="1"/>
  <c r="BF11" i="1"/>
  <c r="I9" i="1"/>
  <c r="I11" i="1"/>
  <c r="J9" i="1"/>
  <c r="J11" i="1" s="1"/>
  <c r="K9" i="1"/>
  <c r="K11" i="1"/>
  <c r="L9" i="1"/>
  <c r="L11" i="1" s="1"/>
  <c r="M9" i="1"/>
  <c r="M11" i="1"/>
  <c r="N9" i="1"/>
  <c r="O9" i="1"/>
  <c r="P9" i="1"/>
  <c r="P11" i="1"/>
  <c r="Q9" i="1"/>
  <c r="Q11" i="1" s="1"/>
  <c r="R9" i="1"/>
  <c r="R11" i="1" s="1"/>
  <c r="S9" i="1"/>
  <c r="T9" i="1"/>
  <c r="T11" i="1"/>
  <c r="U9" i="1"/>
  <c r="U11" i="1" s="1"/>
  <c r="W9" i="1"/>
  <c r="W11" i="1"/>
  <c r="X9" i="1"/>
  <c r="X55" i="1" s="1"/>
  <c r="X11" i="1"/>
  <c r="C11" i="1"/>
  <c r="D11" i="1"/>
  <c r="E11" i="1"/>
  <c r="F11" i="1"/>
  <c r="G11" i="1"/>
  <c r="H11" i="1"/>
  <c r="N11" i="1"/>
  <c r="O11" i="1"/>
  <c r="V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G11" i="1"/>
  <c r="BH11" i="1"/>
  <c r="R13" i="1"/>
  <c r="R15" i="1" s="1"/>
  <c r="T13" i="1"/>
  <c r="T15" i="1"/>
  <c r="U13" i="1"/>
  <c r="U15" i="1" s="1"/>
  <c r="W13" i="1"/>
  <c r="W15" i="1"/>
  <c r="X13" i="1"/>
  <c r="X15" i="1" s="1"/>
  <c r="Y13" i="1"/>
  <c r="Y15" i="1"/>
  <c r="Z13" i="1"/>
  <c r="Z55" i="1" s="1"/>
  <c r="Z15" i="1"/>
  <c r="C15" i="1"/>
  <c r="D15" i="1"/>
  <c r="E15" i="1"/>
  <c r="F15" i="1"/>
  <c r="G15" i="1"/>
  <c r="H15" i="1"/>
  <c r="I15" i="1"/>
  <c r="J15" i="1"/>
  <c r="K15" i="1"/>
  <c r="L15" i="1"/>
  <c r="M15" i="1"/>
  <c r="N15" i="1"/>
  <c r="O15" i="1"/>
  <c r="P15" i="1"/>
  <c r="Q15" i="1"/>
  <c r="S15" i="1"/>
  <c r="V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E15" i="1"/>
  <c r="BF15" i="1"/>
  <c r="BG15" i="1"/>
  <c r="BH15" i="1"/>
  <c r="R17" i="1"/>
  <c r="R19" i="1" s="1"/>
  <c r="T17" i="1"/>
  <c r="T19" i="1"/>
  <c r="Z17" i="1"/>
  <c r="Z19" i="1" s="1"/>
  <c r="C19" i="1"/>
  <c r="D19" i="1"/>
  <c r="E19" i="1"/>
  <c r="F19" i="1"/>
  <c r="G19" i="1"/>
  <c r="H19" i="1"/>
  <c r="I19" i="1"/>
  <c r="J19" i="1"/>
  <c r="K19" i="1"/>
  <c r="L19" i="1"/>
  <c r="M19" i="1"/>
  <c r="N19" i="1"/>
  <c r="O19" i="1"/>
  <c r="P19" i="1"/>
  <c r="Q19" i="1"/>
  <c r="S19" i="1"/>
  <c r="U19" i="1"/>
  <c r="V19" i="1"/>
  <c r="W19" i="1"/>
  <c r="X19" i="1"/>
  <c r="Y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E19" i="1"/>
  <c r="BF19" i="1"/>
  <c r="BG19" i="1"/>
  <c r="BH19" i="1"/>
  <c r="I21" i="1"/>
  <c r="I23" i="1"/>
  <c r="J21" i="1"/>
  <c r="J23" i="1" s="1"/>
  <c r="K21" i="1"/>
  <c r="K23" i="1"/>
  <c r="L21" i="1"/>
  <c r="L23" i="1" s="1"/>
  <c r="M21" i="1"/>
  <c r="M23" i="1"/>
  <c r="N21" i="1"/>
  <c r="N23" i="1"/>
  <c r="O21" i="1"/>
  <c r="O23" i="1"/>
  <c r="P21" i="1"/>
  <c r="P23" i="1"/>
  <c r="Q21" i="1"/>
  <c r="Q23" i="1"/>
  <c r="R21" i="1"/>
  <c r="R23" i="1"/>
  <c r="S21" i="1"/>
  <c r="S23" i="1" s="1"/>
  <c r="T21" i="1"/>
  <c r="T23" i="1" s="1"/>
  <c r="U21" i="1"/>
  <c r="U23" i="1" s="1"/>
  <c r="W21" i="1"/>
  <c r="W55" i="1" s="1"/>
  <c r="W23" i="1"/>
  <c r="X21" i="1"/>
  <c r="X23" i="1" s="1"/>
  <c r="Y21" i="1"/>
  <c r="Z21" i="1"/>
  <c r="Z23" i="1"/>
  <c r="AA21" i="1"/>
  <c r="AB21" i="1"/>
  <c r="AB23" i="1"/>
  <c r="C23" i="1"/>
  <c r="D23" i="1"/>
  <c r="E23" i="1"/>
  <c r="F23" i="1"/>
  <c r="G23" i="1"/>
  <c r="H23" i="1"/>
  <c r="V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E23" i="1"/>
  <c r="BF23" i="1"/>
  <c r="BG23" i="1"/>
  <c r="BH23" i="1"/>
  <c r="I25" i="1"/>
  <c r="I27" i="1"/>
  <c r="J25" i="1"/>
  <c r="J27" i="1" s="1"/>
  <c r="K25" i="1"/>
  <c r="K27" i="1" s="1"/>
  <c r="L25" i="1"/>
  <c r="L27" i="1" s="1"/>
  <c r="O25" i="1"/>
  <c r="O27" i="1"/>
  <c r="P25" i="1"/>
  <c r="P27" i="1" s="1"/>
  <c r="Q25" i="1"/>
  <c r="Q27" i="1" s="1"/>
  <c r="R25" i="1"/>
  <c r="R27" i="1" s="1"/>
  <c r="S25" i="1"/>
  <c r="T25" i="1"/>
  <c r="T27" i="1"/>
  <c r="U25" i="1"/>
  <c r="U27" i="1"/>
  <c r="W25" i="1"/>
  <c r="W27" i="1"/>
  <c r="X25" i="1"/>
  <c r="X27" i="1" s="1"/>
  <c r="Y25" i="1"/>
  <c r="Y27" i="1"/>
  <c r="Z25" i="1"/>
  <c r="Z27" i="1"/>
  <c r="AA25" i="1"/>
  <c r="AA27" i="1"/>
  <c r="AB25" i="1"/>
  <c r="AB27" i="1" s="1"/>
  <c r="C27" i="1"/>
  <c r="D27" i="1"/>
  <c r="E27" i="1"/>
  <c r="F27" i="1"/>
  <c r="G27" i="1"/>
  <c r="H27" i="1"/>
  <c r="M27" i="1"/>
  <c r="N27" i="1"/>
  <c r="S27" i="1"/>
  <c r="V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E27" i="1"/>
  <c r="BF27" i="1"/>
  <c r="BG27" i="1"/>
  <c r="BH27" i="1"/>
  <c r="H29" i="1"/>
  <c r="H31" i="1"/>
  <c r="I29" i="1"/>
  <c r="I31" i="1"/>
  <c r="J29" i="1"/>
  <c r="J31" i="1"/>
  <c r="K29" i="1"/>
  <c r="K31" i="1"/>
  <c r="L29" i="1"/>
  <c r="L31" i="1"/>
  <c r="M29" i="1"/>
  <c r="M31" i="1"/>
  <c r="O29" i="1"/>
  <c r="O31" i="1"/>
  <c r="P29" i="1"/>
  <c r="P31" i="1"/>
  <c r="Q29" i="1"/>
  <c r="Q31" i="1"/>
  <c r="R29" i="1"/>
  <c r="R31" i="1"/>
  <c r="S29" i="1"/>
  <c r="S31" i="1"/>
  <c r="T29" i="1"/>
  <c r="T31" i="1"/>
  <c r="U29" i="1"/>
  <c r="U31" i="1"/>
  <c r="W29" i="1"/>
  <c r="W31" i="1"/>
  <c r="X29" i="1"/>
  <c r="X31" i="1"/>
  <c r="Y29" i="1"/>
  <c r="Y31" i="1"/>
  <c r="Z29" i="1"/>
  <c r="Z31" i="1"/>
  <c r="AA29" i="1"/>
  <c r="AA31" i="1"/>
  <c r="AB29" i="1"/>
  <c r="AB31" i="1"/>
  <c r="C31" i="1"/>
  <c r="D31" i="1"/>
  <c r="E31" i="1"/>
  <c r="F31" i="1"/>
  <c r="G31" i="1"/>
  <c r="N31" i="1"/>
  <c r="V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G31" i="1"/>
  <c r="BH31" i="1"/>
  <c r="C35"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BG35" i="1"/>
  <c r="BH35" i="1"/>
  <c r="C40"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E40" i="1"/>
  <c r="BF40" i="1"/>
  <c r="BG40" i="1"/>
  <c r="BH40" i="1"/>
  <c r="C44" i="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44" i="1"/>
  <c r="BE44" i="1"/>
  <c r="BF44" i="1"/>
  <c r="C48"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AY48" i="1"/>
  <c r="AZ48" i="1"/>
  <c r="BA48" i="1"/>
  <c r="BB48" i="1"/>
  <c r="BE48" i="1"/>
  <c r="BG48" i="1"/>
  <c r="BH48" i="1"/>
  <c r="C50" i="1"/>
  <c r="D50" i="1"/>
  <c r="D52" i="1" s="1"/>
  <c r="E50" i="1"/>
  <c r="F50" i="1"/>
  <c r="F52" i="1" s="1"/>
  <c r="G50" i="1"/>
  <c r="H50" i="1"/>
  <c r="I50" i="1"/>
  <c r="J50" i="1"/>
  <c r="K50" i="1"/>
  <c r="L50" i="1"/>
  <c r="L52" i="1"/>
  <c r="M50" i="1"/>
  <c r="N50" i="1"/>
  <c r="O50" i="1"/>
  <c r="P50" i="1"/>
  <c r="Q50" i="1"/>
  <c r="R50" i="1"/>
  <c r="R52" i="1" s="1"/>
  <c r="S50" i="1"/>
  <c r="T50" i="1"/>
  <c r="T52" i="1" s="1"/>
  <c r="U50" i="1"/>
  <c r="U52" i="1" s="1"/>
  <c r="V50" i="1"/>
  <c r="V55" i="1"/>
  <c r="V57" i="1" s="1"/>
  <c r="W50" i="1"/>
  <c r="W52" i="1" s="1"/>
  <c r="X50" i="1"/>
  <c r="X52" i="1" s="1"/>
  <c r="Y50" i="1"/>
  <c r="Z50" i="1"/>
  <c r="AA50" i="1"/>
  <c r="AA52" i="1"/>
  <c r="AB50" i="1"/>
  <c r="AB52" i="1" s="1"/>
  <c r="AC50" i="1"/>
  <c r="AD50" i="1"/>
  <c r="AD52" i="1" s="1"/>
  <c r="AD55" i="1"/>
  <c r="AD57" i="1" s="1"/>
  <c r="AE50" i="1"/>
  <c r="AE55" i="1"/>
  <c r="AE66" i="1"/>
  <c r="AF50" i="1"/>
  <c r="AG50" i="1"/>
  <c r="AG55" i="1"/>
  <c r="AG66" i="1" s="1"/>
  <c r="AH50" i="1"/>
  <c r="AH55" i="1"/>
  <c r="AH66" i="1" s="1"/>
  <c r="AI50" i="1"/>
  <c r="AI55" i="1" s="1"/>
  <c r="AJ50" i="1"/>
  <c r="AJ55" i="1"/>
  <c r="AK50" i="1"/>
  <c r="AK55" i="1"/>
  <c r="AK66" i="1"/>
  <c r="AL50" i="1"/>
  <c r="AL55" i="1" s="1"/>
  <c r="AM50" i="1"/>
  <c r="AM55" i="1"/>
  <c r="AM66" i="1"/>
  <c r="AN50" i="1"/>
  <c r="AN55" i="1"/>
  <c r="AO50" i="1"/>
  <c r="AO55" i="1"/>
  <c r="AO57" i="1" s="1"/>
  <c r="AP50" i="1"/>
  <c r="AP55" i="1"/>
  <c r="AQ50" i="1"/>
  <c r="AQ52" i="1" s="1"/>
  <c r="AR50" i="1"/>
  <c r="AR55" i="1" s="1"/>
  <c r="AS50" i="1"/>
  <c r="AT50" i="1"/>
  <c r="AT55" i="1"/>
  <c r="AT66" i="1"/>
  <c r="AU50" i="1"/>
  <c r="AU55" i="1" s="1"/>
  <c r="AV50" i="1"/>
  <c r="AV55" i="1"/>
  <c r="AW50" i="1"/>
  <c r="AW55" i="1"/>
  <c r="AW57" i="1"/>
  <c r="AW66" i="1"/>
  <c r="AX50" i="1"/>
  <c r="AX55" i="1"/>
  <c r="AY50" i="1"/>
  <c r="AY55" i="1"/>
  <c r="AY66" i="1" s="1"/>
  <c r="AZ50" i="1"/>
  <c r="BA50" i="1"/>
  <c r="BA55" i="1" s="1"/>
  <c r="BA52" i="1"/>
  <c r="BB50" i="1"/>
  <c r="BB55" i="1"/>
  <c r="BB66" i="1"/>
  <c r="BE50" i="1"/>
  <c r="BE55" i="1" s="1"/>
  <c r="BF50" i="1"/>
  <c r="BF55" i="1" s="1"/>
  <c r="BG50" i="1"/>
  <c r="BG55" i="1" s="1"/>
  <c r="BG52" i="1"/>
  <c r="BH50" i="1"/>
  <c r="BH55" i="1"/>
  <c r="BH66" i="1" s="1"/>
  <c r="C51" i="1"/>
  <c r="C52" i="1"/>
  <c r="D51" i="1"/>
  <c r="E51" i="1"/>
  <c r="E52" i="1" s="1"/>
  <c r="F51" i="1"/>
  <c r="G51" i="1"/>
  <c r="H51" i="1"/>
  <c r="I51" i="1"/>
  <c r="I52" i="1" s="1"/>
  <c r="J51" i="1"/>
  <c r="J52" i="1"/>
  <c r="K51" i="1"/>
  <c r="K52" i="1"/>
  <c r="L51" i="1"/>
  <c r="M51" i="1"/>
  <c r="N51" i="1"/>
  <c r="O51" i="1"/>
  <c r="O52" i="1" s="1"/>
  <c r="P51" i="1"/>
  <c r="P56" i="1"/>
  <c r="Q51" i="1"/>
  <c r="Q56" i="1" s="1"/>
  <c r="R51" i="1"/>
  <c r="R56" i="1"/>
  <c r="S51" i="1"/>
  <c r="S56" i="1" s="1"/>
  <c r="S57" i="1" s="1"/>
  <c r="T51" i="1"/>
  <c r="T56" i="1"/>
  <c r="U51" i="1"/>
  <c r="U56" i="1" s="1"/>
  <c r="V51" i="1"/>
  <c r="V56" i="1"/>
  <c r="W51" i="1"/>
  <c r="W56" i="1" s="1"/>
  <c r="X51" i="1"/>
  <c r="X56" i="1"/>
  <c r="Y51" i="1"/>
  <c r="Y56" i="1" s="1"/>
  <c r="Y57" i="1" s="1"/>
  <c r="Z51" i="1"/>
  <c r="Z56" i="1"/>
  <c r="AA51" i="1"/>
  <c r="AA56" i="1" s="1"/>
  <c r="AB51" i="1"/>
  <c r="AC51" i="1"/>
  <c r="AC56" i="1" s="1"/>
  <c r="AC52" i="1"/>
  <c r="AD51" i="1"/>
  <c r="AD56" i="1"/>
  <c r="AE51" i="1"/>
  <c r="AE56" i="1" s="1"/>
  <c r="AF51" i="1"/>
  <c r="AF52" i="1" s="1"/>
  <c r="AG51" i="1"/>
  <c r="AG56" i="1" s="1"/>
  <c r="AG57" i="1" s="1"/>
  <c r="AG52" i="1"/>
  <c r="AH51" i="1"/>
  <c r="AH56" i="1"/>
  <c r="AI51" i="1"/>
  <c r="AI56" i="1"/>
  <c r="AJ51" i="1"/>
  <c r="AJ52" i="1" s="1"/>
  <c r="AJ56" i="1"/>
  <c r="AK51" i="1"/>
  <c r="AK56" i="1"/>
  <c r="AL51" i="1"/>
  <c r="AL56" i="1"/>
  <c r="AM51" i="1"/>
  <c r="AM52" i="1" s="1"/>
  <c r="AM56" i="1"/>
  <c r="AN51" i="1"/>
  <c r="AN52" i="1" s="1"/>
  <c r="AN56" i="1"/>
  <c r="AN57" i="1" s="1"/>
  <c r="AO51" i="1"/>
  <c r="AO56" i="1"/>
  <c r="AP51" i="1"/>
  <c r="AP56" i="1"/>
  <c r="AQ51" i="1"/>
  <c r="AQ56" i="1"/>
  <c r="AR51" i="1"/>
  <c r="AR56" i="1"/>
  <c r="AS51" i="1"/>
  <c r="AS52" i="1" s="1"/>
  <c r="AS56" i="1"/>
  <c r="AT51" i="1"/>
  <c r="AT56" i="1" s="1"/>
  <c r="AT57" i="1" s="1"/>
  <c r="AU51" i="1"/>
  <c r="AU56" i="1"/>
  <c r="AV51" i="1"/>
  <c r="AV56" i="1" s="1"/>
  <c r="AV57" i="1" s="1"/>
  <c r="AW51" i="1"/>
  <c r="AW56" i="1"/>
  <c r="AX51" i="1"/>
  <c r="AX56" i="1" s="1"/>
  <c r="AX57" i="1" s="1"/>
  <c r="AY51" i="1"/>
  <c r="AY52" i="1" s="1"/>
  <c r="AY56" i="1"/>
  <c r="AY57" i="1" s="1"/>
  <c r="AZ51" i="1"/>
  <c r="AZ56" i="1"/>
  <c r="BA51" i="1"/>
  <c r="BA56" i="1" s="1"/>
  <c r="BB51" i="1"/>
  <c r="BB52" i="1" s="1"/>
  <c r="BB56" i="1"/>
  <c r="BB57" i="1"/>
  <c r="BE51" i="1"/>
  <c r="BE56" i="1"/>
  <c r="BF51" i="1"/>
  <c r="BF56" i="1"/>
  <c r="BG51" i="1"/>
  <c r="BG56" i="1"/>
  <c r="BH51" i="1"/>
  <c r="BH52" i="1" s="1"/>
  <c r="BH56" i="1"/>
  <c r="G52" i="1"/>
  <c r="H52" i="1"/>
  <c r="I55" i="1"/>
  <c r="I66" i="1"/>
  <c r="J55" i="1"/>
  <c r="J57" i="1" s="1"/>
  <c r="J66" i="1"/>
  <c r="K55" i="1"/>
  <c r="K66" i="1" s="1"/>
  <c r="L55" i="1"/>
  <c r="L66" i="1" s="1"/>
  <c r="M55" i="1"/>
  <c r="M66" i="1"/>
  <c r="N55" i="1"/>
  <c r="N57" i="1" s="1"/>
  <c r="AF55" i="1"/>
  <c r="AF66" i="1" s="1"/>
  <c r="AZ55" i="1"/>
  <c r="AZ57" i="1" s="1"/>
  <c r="AB56" i="1"/>
  <c r="AF56" i="1"/>
  <c r="AF57" i="1" s="1"/>
  <c r="C57" i="1"/>
  <c r="D57" i="1"/>
  <c r="E57" i="1"/>
  <c r="F57" i="1"/>
  <c r="G57" i="1"/>
  <c r="H57" i="1"/>
  <c r="S62" i="1"/>
  <c r="S67" i="1" s="1"/>
  <c r="S64" i="1"/>
  <c r="T62" i="1"/>
  <c r="T64" i="1"/>
  <c r="W62" i="1"/>
  <c r="W64" i="1" s="1"/>
  <c r="C64" i="1"/>
  <c r="D64" i="1"/>
  <c r="E64" i="1"/>
  <c r="F64" i="1"/>
  <c r="G64" i="1"/>
  <c r="H64" i="1"/>
  <c r="I64" i="1"/>
  <c r="J64" i="1"/>
  <c r="K64" i="1"/>
  <c r="L64" i="1"/>
  <c r="M64" i="1"/>
  <c r="N64" i="1"/>
  <c r="O64" i="1"/>
  <c r="P64" i="1"/>
  <c r="Q64" i="1"/>
  <c r="R64" i="1"/>
  <c r="U64" i="1"/>
  <c r="V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AX64" i="1"/>
  <c r="AY64" i="1"/>
  <c r="AZ64" i="1"/>
  <c r="BA64" i="1"/>
  <c r="BB64" i="1"/>
  <c r="BE64" i="1"/>
  <c r="BF64" i="1"/>
  <c r="BG64" i="1"/>
  <c r="BH64" i="1"/>
  <c r="C66" i="1"/>
  <c r="D66" i="1"/>
  <c r="E66" i="1"/>
  <c r="F66" i="1"/>
  <c r="G66" i="1"/>
  <c r="H66" i="1"/>
  <c r="O66" i="1"/>
  <c r="P66" i="1"/>
  <c r="Q66" i="1"/>
  <c r="R66" i="1"/>
  <c r="S66" i="1"/>
  <c r="T66" i="1"/>
  <c r="U66" i="1"/>
  <c r="U67" i="1" s="1"/>
  <c r="V66" i="1"/>
  <c r="W66" i="1"/>
  <c r="W67" i="1" s="1"/>
  <c r="X66" i="1"/>
  <c r="P52" i="1"/>
  <c r="N66" i="1"/>
  <c r="AH52" i="1"/>
  <c r="Z52" i="1"/>
  <c r="M52" i="1"/>
  <c r="Y55" i="1"/>
  <c r="Y67" i="1"/>
  <c r="N52" i="1"/>
  <c r="O55" i="1"/>
  <c r="O67" i="1"/>
  <c r="V67" i="1"/>
  <c r="AC55" i="1"/>
  <c r="AC57" i="1" s="1"/>
  <c r="Y23" i="1"/>
  <c r="V52" i="1"/>
  <c r="AK52" i="1"/>
  <c r="I57" i="1"/>
  <c r="AE52" i="1"/>
  <c r="S55" i="1"/>
  <c r="AW52" i="1"/>
  <c r="AO52" i="1"/>
  <c r="AM57" i="1"/>
  <c r="AA23" i="1"/>
  <c r="AX66" i="1"/>
  <c r="S11" i="1"/>
  <c r="BC56" i="1"/>
  <c r="BC57" i="1" s="1"/>
  <c r="BF52" i="1"/>
  <c r="BE52" i="1"/>
  <c r="BL52" i="1"/>
  <c r="AN66" i="1"/>
  <c r="AH57" i="1"/>
  <c r="AP57" i="1"/>
  <c r="AP66" i="1"/>
  <c r="AJ66" i="1"/>
  <c r="AJ57" i="1"/>
  <c r="BC66" i="1"/>
  <c r="AA55" i="1"/>
  <c r="AA67" i="1" s="1"/>
  <c r="AZ52" i="1"/>
  <c r="S52" i="1"/>
  <c r="BC52" i="1"/>
  <c r="K57" i="1"/>
  <c r="M57" i="1"/>
  <c r="O56" i="1"/>
  <c r="O57" i="1"/>
  <c r="AV66" i="1"/>
  <c r="AS55" i="1"/>
  <c r="AS57" i="1" s="1"/>
  <c r="AD66" i="1"/>
  <c r="U55" i="1"/>
  <c r="U57" i="1" s="1"/>
  <c r="AX52" i="1"/>
  <c r="AK57" i="1"/>
  <c r="AP52" i="1"/>
  <c r="AT52" i="1"/>
  <c r="AS66" i="1"/>
  <c r="BH57" i="1"/>
  <c r="BK55" i="1" l="1"/>
  <c r="BK52" i="1"/>
  <c r="AL66" i="1"/>
  <c r="AL57" i="1"/>
  <c r="W57" i="1"/>
  <c r="Z67" i="1"/>
  <c r="Z57" i="1"/>
  <c r="BD57" i="1"/>
  <c r="BD66" i="1"/>
  <c r="AU57" i="1"/>
  <c r="AU66" i="1"/>
  <c r="BE66" i="1"/>
  <c r="BE57" i="1"/>
  <c r="BA57" i="1"/>
  <c r="BA66" i="1"/>
  <c r="BL66" i="1"/>
  <c r="BL57" i="1"/>
  <c r="T67" i="1"/>
  <c r="AR57" i="1"/>
  <c r="AR66" i="1"/>
  <c r="AE57" i="1"/>
  <c r="BG57" i="1"/>
  <c r="BG66" i="1"/>
  <c r="BF66" i="1"/>
  <c r="BF57" i="1"/>
  <c r="AI57" i="1"/>
  <c r="AI66" i="1"/>
  <c r="X67" i="1"/>
  <c r="X57" i="1"/>
  <c r="AL52" i="1"/>
  <c r="AU52" i="1"/>
  <c r="AI52" i="1"/>
  <c r="L57" i="1"/>
  <c r="AQ55" i="1"/>
  <c r="Q55" i="1"/>
  <c r="AO66" i="1"/>
  <c r="AC66" i="1"/>
  <c r="P55" i="1"/>
  <c r="AB55" i="1"/>
  <c r="AZ66" i="1"/>
  <c r="AA57" i="1"/>
  <c r="AR52" i="1"/>
  <c r="Q52" i="1"/>
  <c r="AV52" i="1"/>
  <c r="R55" i="1"/>
  <c r="Y52" i="1"/>
  <c r="BD52" i="1"/>
  <c r="T55" i="1"/>
  <c r="T57" i="1" s="1"/>
  <c r="BK57" i="1" l="1"/>
  <c r="P67" i="1"/>
  <c r="P57" i="1"/>
  <c r="AQ66" i="1"/>
  <c r="AQ57" i="1"/>
  <c r="AB67" i="1"/>
  <c r="AB57" i="1"/>
  <c r="R57" i="1"/>
  <c r="R67" i="1"/>
  <c r="Q67" i="1"/>
  <c r="Q57" i="1"/>
</calcChain>
</file>

<file path=xl/sharedStrings.xml><?xml version="1.0" encoding="utf-8"?>
<sst xmlns="http://schemas.openxmlformats.org/spreadsheetml/2006/main" count="136" uniqueCount="47">
  <si>
    <t xml:space="preserve"> Fall and Spring Semesters</t>
  </si>
  <si>
    <t>FALL</t>
  </si>
  <si>
    <t>SPRING</t>
  </si>
  <si>
    <t>Business</t>
  </si>
  <si>
    <t>Design</t>
  </si>
  <si>
    <t xml:space="preserve"> </t>
  </si>
  <si>
    <t>Education</t>
  </si>
  <si>
    <t>Engineering</t>
  </si>
  <si>
    <t>Family and Consumer Sciences</t>
  </si>
  <si>
    <t>Liberal Arts and Sciences</t>
  </si>
  <si>
    <t>Liberal Arts and Sciences Total</t>
  </si>
  <si>
    <t>Total - All Colleges (excluding Veterinary Medicine)</t>
  </si>
  <si>
    <t>STUDENT CREDIT HOURS NOT INCLUDED IN ABOVE RATIOS</t>
  </si>
  <si>
    <t>Veterinary Medicine</t>
  </si>
  <si>
    <t>Other (Interdisciplinary, Library, and</t>
  </si>
  <si>
    <t>University Total SCH</t>
  </si>
  <si>
    <t>Office of Institutional Research</t>
  </si>
  <si>
    <t>SCH</t>
  </si>
  <si>
    <t>SCH/FTE</t>
  </si>
  <si>
    <t>COLLEGE</t>
  </si>
  <si>
    <t>FTE Instructor</t>
  </si>
  <si>
    <t xml:space="preserve">SCH/FTE </t>
  </si>
  <si>
    <t xml:space="preserve">Student Credit Hours (SCH) per Full-Time Equivalent (FTE) </t>
  </si>
  <si>
    <r>
      <t>Instructor by College</t>
    </r>
    <r>
      <rPr>
        <vertAlign val="superscript"/>
        <sz val="12"/>
        <rFont val="Univers 55"/>
        <family val="2"/>
      </rPr>
      <t>1</t>
    </r>
  </si>
  <si>
    <t>Division of Humanities</t>
  </si>
  <si>
    <t>Division of Science and Mathematics</t>
  </si>
  <si>
    <t>Division of Social Sciences</t>
  </si>
  <si>
    <t>Agriculture and Life Sciences</t>
  </si>
  <si>
    <t>Human Sciences</t>
  </si>
  <si>
    <r>
      <t>SPRING</t>
    </r>
    <r>
      <rPr>
        <vertAlign val="superscript"/>
        <sz val="10"/>
        <rFont val="Univers 55"/>
      </rPr>
      <t>2</t>
    </r>
  </si>
  <si>
    <r>
      <t>SPRING</t>
    </r>
    <r>
      <rPr>
        <vertAlign val="superscript"/>
        <sz val="10"/>
        <rFont val="Univers 55"/>
      </rPr>
      <t>3</t>
    </r>
  </si>
  <si>
    <r>
      <t xml:space="preserve">   Military Sciences) SCH</t>
    </r>
    <r>
      <rPr>
        <vertAlign val="superscript"/>
        <sz val="10"/>
        <rFont val="Univers LT Std 55"/>
        <family val="2"/>
      </rPr>
      <t>4</t>
    </r>
  </si>
  <si>
    <t xml:space="preserve"> by the college structure existing on June 30, 2017.</t>
  </si>
  <si>
    <r>
      <rPr>
        <vertAlign val="superscript"/>
        <sz val="9"/>
        <rFont val="Univers LT Std 55"/>
        <family val="2"/>
      </rPr>
      <t>1</t>
    </r>
    <r>
      <rPr>
        <sz val="9"/>
        <rFont val="Univers LT Std 55"/>
        <family val="2"/>
      </rPr>
      <t xml:space="preserve"> </t>
    </r>
    <r>
      <rPr>
        <sz val="8"/>
        <rFont val="Univers LT Std 55"/>
        <family val="2"/>
      </rPr>
      <t>Student credit hours (SCH) are calculated by multiplying the course credit by the number of students enrolled in the course.</t>
    </r>
  </si>
  <si>
    <r>
      <rPr>
        <vertAlign val="superscript"/>
        <sz val="9"/>
        <rFont val="Univers LT Std 55"/>
        <family val="2"/>
      </rPr>
      <t>2</t>
    </r>
    <r>
      <rPr>
        <sz val="9"/>
        <rFont val="Univers LT Std 55"/>
        <family val="2"/>
      </rPr>
      <t xml:space="preserve"> </t>
    </r>
    <r>
      <rPr>
        <sz val="8"/>
        <rFont val="Univers LT Std 55"/>
        <family val="2"/>
      </rPr>
      <t xml:space="preserve">College of Agriculture and Life Sciences and College of Human Sciences FTE and SCH/FTE data for Fall 2013 and Spring 2014 </t>
    </r>
  </si>
  <si>
    <t xml:space="preserve"> Full-time equivalent (FTE) instructors include faculty and teaching assistants paid from general university funds.  </t>
  </si>
  <si>
    <t xml:space="preserve"> FSHN total FTE: Fall 2013=21.82; Spring 2014=22.34, and SCH/FTE: Fall 2013=374; Spring 2014=351.</t>
  </si>
  <si>
    <t xml:space="preserve"> and colleges using course splits designated by teaching departments. </t>
  </si>
  <si>
    <r>
      <t xml:space="preserve">3  </t>
    </r>
    <r>
      <rPr>
        <sz val="8"/>
        <rFont val="Univers LT Std 55"/>
        <family val="2"/>
      </rPr>
      <t xml:space="preserve">Beginning FY2014-2015, all data are sourced from the e-Data warehouse, which assigns SCH to departments </t>
    </r>
  </si>
  <si>
    <r>
      <t xml:space="preserve"> FALL</t>
    </r>
    <r>
      <rPr>
        <vertAlign val="superscript"/>
        <sz val="10"/>
        <rFont val="Univers 55"/>
      </rPr>
      <t>2</t>
    </r>
  </si>
  <si>
    <r>
      <t xml:space="preserve"> FALL</t>
    </r>
    <r>
      <rPr>
        <vertAlign val="superscript"/>
        <sz val="10"/>
        <rFont val="Univers 55"/>
      </rPr>
      <t>3</t>
    </r>
  </si>
  <si>
    <t xml:space="preserve"> October payroll is used for fall semester; March payroll is used for spring semester. Colleges are organized for all years</t>
  </si>
  <si>
    <t xml:space="preserve"> do not include Food Science and Human Nutrition (FSHN). FSHN data is included in the Total - All Colleges FTE and SCH/FTE.  </t>
  </si>
  <si>
    <r>
      <t xml:space="preserve">4  </t>
    </r>
    <r>
      <rPr>
        <sz val="8"/>
        <rFont val="Univers LT Std 55"/>
        <family val="2"/>
      </rPr>
      <t>Interdisciplinary, Library, and Military Sciences SCH and FTE are excluded from the SCH per FTE ratios. "Other" also 
   includes SCH with no associated instructor FTEs and SCH and FTEs not assigned to academic departments (which are 
   excluded from college and All Colleges SCH/FTE ratios as well). The All Colleges ratio also excludes Veterinary Medicine.</t>
    </r>
  </si>
  <si>
    <t>Last Updated: 01/14/2019</t>
  </si>
  <si>
    <r>
      <t>SPRING</t>
    </r>
    <r>
      <rPr>
        <vertAlign val="superscript"/>
        <sz val="10"/>
        <color theme="1"/>
        <rFont val="Univers 55"/>
      </rPr>
      <t>3</t>
    </r>
  </si>
  <si>
    <r>
      <t xml:space="preserve"> FALL</t>
    </r>
    <r>
      <rPr>
        <vertAlign val="superscript"/>
        <sz val="10"/>
        <color theme="1"/>
        <rFont val="Univers 55"/>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</si>
</sst>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0"/>
  </numFmts>
  <fonts count="38">
    <font>
      <sz val="10"/>
      <name val="Univers 55"/>
    </font>
    <font>
      <sz val="10"/>
      <name val="Berkeley Italic"/>
    </font>
    <font>
      <b/>
      <sz val="14"/>
      <name val="Univers 55"/>
      <family val="2"/>
    </font>
    <font>
      <i/>
      <sz val="10"/>
      <name val="Berkeley"/>
      <family val="1"/>
    </font>
    <font>
      <vertAlign val="superscript"/>
      <sz val="12"/>
      <name val="Univers 55"/>
      <family val="2"/>
    </font>
    <font>
      <sz val="10"/>
      <name val="Univers 55"/>
      <family val="2"/>
    </font>
    <font>
      <b/>
      <sz val="8"/>
      <name val="Univers 55"/>
      <family val="2"/>
    </font>
    <font>
      <b/>
      <sz val="8"/>
      <name val="Univers 45 Light"/>
      <family val="2"/>
    </font>
    <font>
      <sz val="8"/>
      <name val="Univers 55"/>
      <family val="2"/>
    </font>
    <font>
      <sz val="8"/>
      <color indexed="9"/>
      <name val="Univers 55"/>
      <family val="2"/>
    </font>
    <font>
      <sz val="8"/>
      <name val="Univers 65 Bold"/>
    </font>
    <font>
      <i/>
      <u/>
      <sz val="8"/>
      <name val="Univers 55"/>
      <family val="2"/>
    </font>
    <font>
      <vertAlign val="superscript"/>
      <sz val="9"/>
      <name val="Univers LT Std 55"/>
      <family val="2"/>
    </font>
    <font>
      <sz val="9"/>
      <name val="Univers LT Std 55"/>
      <family val="2"/>
    </font>
    <font>
      <b/>
      <sz val="9"/>
      <name val="Univers LT Std 55"/>
      <family val="2"/>
    </font>
    <font>
      <vertAlign val="superscript"/>
      <sz val="10"/>
      <name val="Univers 55"/>
    </font>
    <font>
      <sz val="8"/>
      <name val="Univers LT Std 55"/>
      <family val="2"/>
    </font>
    <font>
      <vertAlign val="superscript"/>
      <sz val="10"/>
      <name val="Univers LT Std 55"/>
      <family val="2"/>
    </font>
    <font>
      <b/>
      <sz val="8"/>
      <name val="Univers 55"/>
    </font>
    <font>
      <vertAlign val="superscript"/>
      <sz val="8"/>
      <name val="Univers LT Std 55"/>
      <family val="2"/>
    </font>
    <font>
      <b/>
      <sz val="8"/>
      <name val="Univers LT Std 55"/>
      <family val="2"/>
    </font>
    <font>
      <sz val="8"/>
      <color theme="0"/>
      <name val="Univers 55"/>
      <family val="2"/>
    </font>
    <font>
      <sz val="8"/>
      <color theme="0"/>
      <name val="Univers 65 Bold"/>
    </font>
    <font>
      <b/>
      <sz val="8"/>
      <color theme="0"/>
      <name val="Univers 55"/>
      <family val="2"/>
    </font>
    <font>
      <b/>
      <sz val="8"/>
      <color theme="0"/>
      <name val="Univers 45 Light"/>
      <family val="2"/>
    </font>
    <font>
      <sz val="8"/>
      <color theme="0" tint="-0.14999847407452621"/>
      <name val="Univers 55"/>
      <family val="2"/>
    </font>
    <font>
      <sz val="10"/>
      <color theme="1"/>
      <name val="Univers 55"/>
    </font>
    <font>
      <sz val="10"/>
      <color theme="1"/>
      <name val="Berkeley Italic"/>
    </font>
    <font>
      <b/>
      <sz val="8"/>
      <color theme="1"/>
      <name val="Univers 55"/>
      <family val="2"/>
    </font>
    <font>
      <vertAlign val="superscript"/>
      <sz val="10"/>
      <color theme="1"/>
      <name val="Univers 55"/>
    </font>
    <font>
      <b/>
      <sz val="8"/>
      <color theme="1"/>
      <name val="Univers 55"/>
    </font>
    <font>
      <sz val="8"/>
      <color theme="1"/>
      <name val="Univers 55"/>
      <family val="2"/>
    </font>
    <font>
      <sz val="8"/>
      <color theme="1"/>
      <name val="Univers 65 Bold"/>
    </font>
    <font>
      <b/>
      <sz val="8"/>
      <color theme="1"/>
      <name val="Univers 45 Light"/>
      <family val="2"/>
    </font>
    <font>
      <b/>
      <sz val="8"/>
      <color theme="1"/>
      <name val="Univers LT Std 55"/>
      <family val="2"/>
    </font>
    <font>
      <sz val="8"/>
      <color theme="1"/>
      <name val="Univers LT Std 55"/>
      <family val="2"/>
    </font>
    <font>
      <b/>
      <sz val="9"/>
      <color theme="1"/>
      <name val="Univers LT Std 55"/>
      <family val="2"/>
    </font>
    <font>
      <vertAlign val="superscript"/>
      <sz val="9"/>
      <color theme="1"/>
      <name val="Univers LT Std 55"/>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s>
  <cellStyleXfs count="1">
    <xf numFmtId="0" fontId="0" fillId="0" borderId="0"/>
  </cellStyleXfs>
  <cellXfs count="227">
    <xf numFmtId="0" fontId="0" fillId="0" borderId="0" xfId="0"/>
    <xf numFmtId="0" fontId="1" fillId="0" borderId="0" xfId="0" applyFont="1"/>
    <xf numFmtId="0" fontId="0" fillId="0" borderId="0" xfId="0" applyBorder="1"/>
    <xf numFmtId="0" fontId="0" fillId="0" borderId="1" xfId="0" applyBorder="1"/>
    <xf numFmtId="0" fontId="0" fillId="0" borderId="0" xfId="0" applyAlignment="1"/>
    <xf numFmtId="0" fontId="0" fillId="0" borderId="0" xfId="0" applyBorder="1" applyAlignment="1">
      <alignment horizontal="left"/>
    </xf>
    <xf numFmtId="0" fontId="0" fillId="0" borderId="0" xfId="0" applyAlignment="1">
      <alignment horizontal="left"/>
    </xf>
    <xf numFmtId="0" fontId="2" fillId="0" borderId="0" xfId="0" applyFont="1" applyBorder="1" applyAlignment="1">
      <alignment horizontal="left"/>
    </xf>
    <xf numFmtId="0" fontId="3" fillId="0" borderId="0" xfId="0" applyFont="1" applyAlignment="1">
      <alignment horizontal="left"/>
    </xf>
    <xf numFmtId="0" fontId="0" fillId="0" borderId="0" xfId="0" applyBorder="1" applyAlignment="1"/>
    <xf numFmtId="0" fontId="6" fillId="0" borderId="0" xfId="0" applyFont="1" applyBorder="1" applyAlignment="1">
      <alignment horizontal="left"/>
    </xf>
    <xf numFmtId="0" fontId="6" fillId="0" borderId="0" xfId="0" applyFont="1" applyBorder="1" applyAlignment="1">
      <alignment horizontal="center"/>
    </xf>
    <xf numFmtId="0" fontId="6" fillId="0" borderId="0" xfId="0" applyFont="1" applyBorder="1" applyAlignment="1"/>
    <xf numFmtId="0" fontId="6" fillId="0" borderId="1" xfId="0" applyFont="1" applyBorder="1" applyAlignment="1">
      <alignment horizontal="left"/>
    </xf>
    <xf numFmtId="0" fontId="6" fillId="0" borderId="1" xfId="0" applyFont="1" applyBorder="1" applyAlignment="1">
      <alignment horizontal="center"/>
    </xf>
    <xf numFmtId="0" fontId="7" fillId="0" borderId="0" xfId="0" applyFont="1" applyAlignment="1">
      <alignment horizontal="left"/>
    </xf>
    <xf numFmtId="0" fontId="8" fillId="0" borderId="0" xfId="0" applyFont="1" applyAlignment="1"/>
    <xf numFmtId="164" fontId="8" fillId="0" borderId="0" xfId="0" applyNumberFormat="1" applyFont="1" applyAlignment="1">
      <alignment horizontal="center"/>
    </xf>
    <xf numFmtId="164" fontId="8" fillId="0" borderId="0" xfId="0" applyNumberFormat="1" applyFont="1" applyAlignment="1">
      <alignment horizontal="left"/>
    </xf>
    <xf numFmtId="164" fontId="8" fillId="0" borderId="0" xfId="0" applyNumberFormat="1" applyFont="1" applyBorder="1" applyAlignment="1">
      <alignment horizontal="center"/>
    </xf>
    <xf numFmtId="165" fontId="8" fillId="0" borderId="0" xfId="0" applyNumberFormat="1" applyFont="1" applyAlignment="1">
      <alignment horizontal="center"/>
    </xf>
    <xf numFmtId="165" fontId="8" fillId="0" borderId="0" xfId="0" applyNumberFormat="1" applyFont="1" applyAlignment="1">
      <alignment horizontal="left"/>
    </xf>
    <xf numFmtId="165" fontId="8" fillId="0" borderId="0" xfId="0" applyNumberFormat="1" applyFont="1" applyBorder="1" applyAlignment="1">
      <alignment horizontal="center"/>
    </xf>
    <xf numFmtId="1" fontId="8" fillId="0" borderId="0" xfId="0" applyNumberFormat="1" applyFont="1" applyAlignment="1"/>
    <xf numFmtId="0" fontId="8" fillId="0" borderId="0" xfId="0" applyFont="1" applyBorder="1" applyAlignment="1"/>
    <xf numFmtId="164" fontId="9" fillId="0" borderId="0" xfId="0" applyNumberFormat="1" applyFont="1" applyAlignment="1">
      <alignment horizontal="center"/>
    </xf>
    <xf numFmtId="164" fontId="9" fillId="0" borderId="0" xfId="0" applyNumberFormat="1" applyFont="1" applyBorder="1" applyAlignment="1">
      <alignment horizontal="center"/>
    </xf>
    <xf numFmtId="164" fontId="8" fillId="0" borderId="0" xfId="0" applyNumberFormat="1" applyFont="1" applyBorder="1" applyAlignment="1">
      <alignment horizontal="left"/>
    </xf>
    <xf numFmtId="0" fontId="10" fillId="0" borderId="0" xfId="0" applyFont="1" applyBorder="1" applyAlignment="1">
      <alignment horizontal="center"/>
    </xf>
    <xf numFmtId="0" fontId="10" fillId="0" borderId="0" xfId="0" applyFont="1" applyBorder="1" applyAlignment="1"/>
    <xf numFmtId="0" fontId="8" fillId="0" borderId="0" xfId="0" applyFont="1" applyAlignment="1">
      <alignment horizontal="left"/>
    </xf>
    <xf numFmtId="1" fontId="7" fillId="0" borderId="0" xfId="0" applyNumberFormat="1" applyFont="1" applyAlignment="1"/>
    <xf numFmtId="0" fontId="7" fillId="0" borderId="0" xfId="0" applyFont="1" applyAlignment="1"/>
    <xf numFmtId="0" fontId="7" fillId="0" borderId="0" xfId="0" applyFont="1" applyBorder="1" applyAlignment="1"/>
    <xf numFmtId="164" fontId="7" fillId="0" borderId="0" xfId="0" applyNumberFormat="1" applyFont="1" applyAlignment="1">
      <alignment horizontal="left"/>
    </xf>
    <xf numFmtId="164" fontId="7" fillId="0" borderId="0" xfId="0" applyNumberFormat="1" applyFont="1" applyAlignment="1">
      <alignment horizontal="center"/>
    </xf>
    <xf numFmtId="164" fontId="7" fillId="0" borderId="0" xfId="0" applyNumberFormat="1" applyFont="1" applyBorder="1" applyAlignment="1">
      <alignment horizontal="center"/>
    </xf>
    <xf numFmtId="165" fontId="7" fillId="0" borderId="0" xfId="0" applyNumberFormat="1" applyFont="1" applyAlignment="1">
      <alignment horizontal="left"/>
    </xf>
    <xf numFmtId="165" fontId="7" fillId="0" borderId="0" xfId="0" applyNumberFormat="1" applyFont="1" applyAlignment="1">
      <alignment horizontal="center"/>
    </xf>
    <xf numFmtId="165" fontId="7" fillId="0" borderId="0" xfId="0" applyNumberFormat="1" applyFont="1" applyBorder="1" applyAlignment="1">
      <alignment horizontal="center"/>
    </xf>
    <xf numFmtId="164" fontId="7" fillId="0" borderId="1" xfId="0" applyNumberFormat="1" applyFont="1" applyBorder="1" applyAlignment="1">
      <alignment horizontal="left"/>
    </xf>
    <xf numFmtId="164" fontId="8" fillId="0" borderId="1" xfId="0" applyNumberFormat="1" applyFont="1" applyBorder="1" applyAlignment="1">
      <alignment horizontal="center"/>
    </xf>
    <xf numFmtId="164" fontId="7" fillId="0" borderId="2" xfId="0" applyNumberFormat="1" applyFont="1" applyBorder="1" applyAlignment="1">
      <alignment horizontal="center"/>
    </xf>
    <xf numFmtId="0" fontId="5" fillId="0" borderId="0" xfId="0" applyFont="1" applyBorder="1"/>
    <xf numFmtId="0" fontId="5" fillId="0" borderId="0" xfId="0" applyFont="1" applyBorder="1" applyAlignment="1"/>
    <xf numFmtId="0" fontId="5" fillId="0" borderId="0" xfId="0" applyFont="1"/>
    <xf numFmtId="0" fontId="5" fillId="0" borderId="0" xfId="0" applyFont="1" applyAlignment="1"/>
    <xf numFmtId="0" fontId="7" fillId="2" borderId="0" xfId="0" applyFont="1" applyFill="1" applyAlignment="1">
      <alignment horizontal="left"/>
    </xf>
    <xf numFmtId="0" fontId="8" fillId="2" borderId="0" xfId="0" applyFont="1" applyFill="1" applyAlignment="1"/>
    <xf numFmtId="164" fontId="8" fillId="2" borderId="0" xfId="0" applyNumberFormat="1" applyFont="1" applyFill="1" applyAlignment="1">
      <alignment horizontal="center"/>
    </xf>
    <xf numFmtId="164" fontId="8" fillId="2" borderId="0" xfId="0" applyNumberFormat="1" applyFont="1" applyFill="1" applyAlignment="1">
      <alignment horizontal="left"/>
    </xf>
    <xf numFmtId="164" fontId="8" fillId="2" borderId="0" xfId="0" applyNumberFormat="1" applyFont="1" applyFill="1" applyBorder="1" applyAlignment="1">
      <alignment horizontal="center"/>
    </xf>
    <xf numFmtId="165" fontId="8" fillId="2" borderId="0" xfId="0" applyNumberFormat="1" applyFont="1" applyFill="1" applyAlignment="1">
      <alignment horizontal="center"/>
    </xf>
    <xf numFmtId="165" fontId="8" fillId="2" borderId="0" xfId="0" applyNumberFormat="1" applyFont="1" applyFill="1" applyAlignment="1">
      <alignment horizontal="left"/>
    </xf>
    <xf numFmtId="165" fontId="8" fillId="2" borderId="0" xfId="0" applyNumberFormat="1" applyFont="1" applyFill="1" applyBorder="1" applyAlignment="1">
      <alignment horizontal="center"/>
    </xf>
    <xf numFmtId="0" fontId="8" fillId="2" borderId="0" xfId="0" applyFont="1" applyFill="1" applyBorder="1" applyAlignment="1"/>
    <xf numFmtId="0" fontId="8" fillId="2" borderId="0" xfId="0" applyFont="1" applyFill="1" applyAlignment="1">
      <alignment horizontal="left"/>
    </xf>
    <xf numFmtId="2" fontId="8" fillId="2" borderId="0" xfId="0" applyNumberFormat="1" applyFont="1" applyFill="1" applyAlignment="1"/>
    <xf numFmtId="164" fontId="7" fillId="0" borderId="1" xfId="0" applyNumberFormat="1" applyFont="1" applyBorder="1" applyAlignment="1">
      <alignment horizontal="center"/>
    </xf>
    <xf numFmtId="0" fontId="11" fillId="0" borderId="0" xfId="0" applyFont="1" applyAlignment="1">
      <alignment horizontal="left"/>
    </xf>
    <xf numFmtId="164" fontId="11" fillId="0" borderId="0" xfId="0" applyNumberFormat="1" applyFont="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8" fillId="2" borderId="5" xfId="0" applyFont="1" applyFill="1" applyBorder="1" applyAlignment="1"/>
    <xf numFmtId="0" fontId="8" fillId="2" borderId="6" xfId="0" applyFont="1" applyFill="1" applyBorder="1" applyAlignment="1"/>
    <xf numFmtId="164" fontId="8" fillId="2" borderId="5" xfId="0" applyNumberFormat="1" applyFont="1" applyFill="1" applyBorder="1" applyAlignment="1">
      <alignment horizontal="center"/>
    </xf>
    <xf numFmtId="164" fontId="8" fillId="2" borderId="6" xfId="0" applyNumberFormat="1" applyFont="1" applyFill="1" applyBorder="1" applyAlignment="1">
      <alignment horizontal="center"/>
    </xf>
    <xf numFmtId="165" fontId="8" fillId="2" borderId="5" xfId="0" applyNumberFormat="1" applyFont="1" applyFill="1" applyBorder="1" applyAlignment="1">
      <alignment horizontal="center"/>
    </xf>
    <xf numFmtId="165" fontId="8" fillId="2" borderId="6" xfId="0" applyNumberFormat="1" applyFont="1" applyFill="1" applyBorder="1" applyAlignment="1">
      <alignment horizontal="center"/>
    </xf>
    <xf numFmtId="0" fontId="8" fillId="0" borderId="5" xfId="0" applyFont="1" applyBorder="1" applyAlignment="1"/>
    <xf numFmtId="0" fontId="8" fillId="0" borderId="6" xfId="0" applyFont="1" applyBorder="1" applyAlignment="1"/>
    <xf numFmtId="164" fontId="8" fillId="0" borderId="5" xfId="0" applyNumberFormat="1" applyFont="1" applyBorder="1" applyAlignment="1">
      <alignment horizontal="center"/>
    </xf>
    <xf numFmtId="164" fontId="8" fillId="0" borderId="6" xfId="0" applyNumberFormat="1" applyFont="1" applyBorder="1" applyAlignment="1">
      <alignment horizontal="center"/>
    </xf>
    <xf numFmtId="165" fontId="8" fillId="0" borderId="5" xfId="0" applyNumberFormat="1" applyFont="1" applyBorder="1" applyAlignment="1">
      <alignment horizontal="center"/>
    </xf>
    <xf numFmtId="165" fontId="8" fillId="0" borderId="6" xfId="0" applyNumberFormat="1" applyFont="1" applyBorder="1" applyAlignment="1">
      <alignment horizontal="center"/>
    </xf>
    <xf numFmtId="164" fontId="9" fillId="0" borderId="5" xfId="0" applyNumberFormat="1" applyFont="1" applyBorder="1" applyAlignment="1">
      <alignment horizontal="center"/>
    </xf>
    <xf numFmtId="164" fontId="9" fillId="0" borderId="6" xfId="0" applyNumberFormat="1" applyFont="1" applyBorder="1" applyAlignment="1">
      <alignment horizontal="center"/>
    </xf>
    <xf numFmtId="0" fontId="10" fillId="0" borderId="5" xfId="0" applyFont="1" applyBorder="1" applyAlignment="1"/>
    <xf numFmtId="0" fontId="10" fillId="0" borderId="6" xfId="0" applyFont="1" applyBorder="1" applyAlignment="1"/>
    <xf numFmtId="0" fontId="6" fillId="0" borderId="5" xfId="0" applyFont="1" applyBorder="1" applyAlignment="1">
      <alignment horizontal="center"/>
    </xf>
    <xf numFmtId="0" fontId="6" fillId="0" borderId="6" xfId="0" applyFont="1" applyBorder="1" applyAlignment="1">
      <alignment horizontal="center"/>
    </xf>
    <xf numFmtId="0" fontId="7" fillId="0" borderId="5" xfId="0" applyFont="1" applyBorder="1" applyAlignment="1"/>
    <xf numFmtId="0" fontId="7" fillId="0" borderId="6" xfId="0" applyFont="1" applyBorder="1" applyAlignment="1"/>
    <xf numFmtId="164" fontId="7" fillId="0" borderId="5" xfId="0" applyNumberFormat="1" applyFont="1" applyBorder="1" applyAlignment="1">
      <alignment horizontal="center"/>
    </xf>
    <xf numFmtId="164" fontId="7" fillId="0" borderId="6" xfId="0" applyNumberFormat="1" applyFont="1" applyBorder="1" applyAlignment="1">
      <alignment horizontal="center"/>
    </xf>
    <xf numFmtId="165" fontId="7" fillId="0" borderId="5" xfId="0" applyNumberFormat="1" applyFont="1" applyBorder="1" applyAlignment="1">
      <alignment horizontal="center"/>
    </xf>
    <xf numFmtId="165" fontId="7" fillId="0" borderId="6" xfId="0" applyNumberFormat="1" applyFont="1" applyBorder="1" applyAlignment="1">
      <alignment horizontal="center"/>
    </xf>
    <xf numFmtId="164" fontId="7" fillId="0" borderId="3" xfId="0" applyNumberFormat="1" applyFont="1" applyBorder="1" applyAlignment="1">
      <alignment horizontal="center"/>
    </xf>
    <xf numFmtId="164" fontId="7" fillId="0" borderId="4" xfId="0" applyNumberFormat="1" applyFont="1" applyBorder="1" applyAlignment="1">
      <alignment horizontal="center"/>
    </xf>
    <xf numFmtId="164" fontId="8" fillId="0" borderId="3" xfId="0" applyNumberFormat="1" applyFont="1" applyBorder="1" applyAlignment="1">
      <alignment horizontal="center"/>
    </xf>
    <xf numFmtId="164" fontId="8" fillId="0" borderId="4" xfId="0" applyNumberFormat="1" applyFont="1" applyBorder="1" applyAlignment="1">
      <alignment horizontal="center"/>
    </xf>
    <xf numFmtId="164" fontId="7" fillId="0" borderId="7" xfId="0" applyNumberFormat="1" applyFont="1" applyBorder="1" applyAlignment="1">
      <alignment horizontal="center"/>
    </xf>
    <xf numFmtId="164" fontId="7" fillId="0" borderId="8" xfId="0" applyNumberFormat="1" applyFont="1" applyBorder="1" applyAlignment="1">
      <alignment horizontal="center"/>
    </xf>
    <xf numFmtId="0" fontId="7" fillId="0" borderId="0" xfId="0" applyFont="1" applyAlignment="1">
      <alignment horizontal="left" vertical="center"/>
    </xf>
    <xf numFmtId="0" fontId="8" fillId="0" borderId="0" xfId="0" applyFont="1" applyAlignment="1">
      <alignment vertical="center"/>
    </xf>
    <xf numFmtId="165" fontId="8" fillId="0" borderId="0" xfId="0" applyNumberFormat="1" applyFont="1" applyAlignment="1">
      <alignment horizontal="center" vertical="center"/>
    </xf>
    <xf numFmtId="165" fontId="8" fillId="0" borderId="0" xfId="0" applyNumberFormat="1" applyFont="1" applyBorder="1" applyAlignment="1">
      <alignment horizontal="center" vertical="center"/>
    </xf>
    <xf numFmtId="165" fontId="7" fillId="0" borderId="6" xfId="0" applyNumberFormat="1" applyFont="1" applyFill="1" applyBorder="1" applyAlignment="1">
      <alignment horizontal="center"/>
    </xf>
    <xf numFmtId="165" fontId="7" fillId="0" borderId="0" xfId="0" applyNumberFormat="1" applyFont="1" applyFill="1" applyBorder="1" applyAlignment="1">
      <alignment horizontal="center"/>
    </xf>
    <xf numFmtId="0" fontId="12" fillId="0" borderId="0" xfId="0" applyFont="1" applyAlignment="1"/>
    <xf numFmtId="0" fontId="12" fillId="0" borderId="0" xfId="0" applyFont="1" applyAlignment="1">
      <alignment vertical="top"/>
    </xf>
    <xf numFmtId="37" fontId="13" fillId="0" borderId="0" xfId="0" applyNumberFormat="1" applyFont="1" applyAlignment="1">
      <alignment vertical="top"/>
    </xf>
    <xf numFmtId="0" fontId="13" fillId="0" borderId="0" xfId="0" applyFont="1" applyAlignment="1">
      <alignment vertical="top"/>
    </xf>
    <xf numFmtId="0" fontId="14" fillId="0" borderId="0" xfId="0" applyFont="1" applyAlignment="1">
      <alignment vertical="top"/>
    </xf>
    <xf numFmtId="164" fontId="8" fillId="0" borderId="0" xfId="0" applyNumberFormat="1" applyFont="1" applyAlignment="1">
      <alignment horizontal="left" vertic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6" xfId="0" applyNumberFormat="1" applyFont="1" applyBorder="1" applyAlignment="1">
      <alignment horizontal="center" vertical="center"/>
    </xf>
    <xf numFmtId="165" fontId="8" fillId="0" borderId="0" xfId="0" applyNumberFormat="1" applyFont="1" applyAlignment="1">
      <alignment horizontal="left" vertical="center"/>
    </xf>
    <xf numFmtId="165" fontId="8" fillId="0" borderId="5" xfId="0" applyNumberFormat="1" applyFont="1" applyBorder="1" applyAlignment="1">
      <alignment horizontal="center" vertical="center"/>
    </xf>
    <xf numFmtId="165" fontId="8" fillId="0" borderId="6" xfId="0" applyNumberFormat="1" applyFont="1" applyBorder="1" applyAlignment="1">
      <alignment horizontal="center" vertical="center"/>
    </xf>
    <xf numFmtId="164" fontId="8" fillId="2" borderId="0" xfId="0" applyNumberFormat="1" applyFont="1" applyFill="1" applyAlignment="1">
      <alignment horizontal="center" vertical="center"/>
    </xf>
    <xf numFmtId="164" fontId="8" fillId="2" borderId="0" xfId="0" applyNumberFormat="1" applyFont="1" applyFill="1" applyAlignment="1">
      <alignment horizontal="left" vertical="center"/>
    </xf>
    <xf numFmtId="164" fontId="8" fillId="2" borderId="0"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8" fillId="2" borderId="6" xfId="0" applyNumberFormat="1" applyFont="1" applyFill="1" applyBorder="1" applyAlignment="1">
      <alignment horizontal="center" vertical="center"/>
    </xf>
    <xf numFmtId="165" fontId="8" fillId="2" borderId="0" xfId="0" applyNumberFormat="1" applyFont="1" applyFill="1" applyAlignment="1">
      <alignment horizontal="center" vertical="center"/>
    </xf>
    <xf numFmtId="165" fontId="8" fillId="2" borderId="0" xfId="0" applyNumberFormat="1" applyFont="1" applyFill="1" applyAlignment="1">
      <alignment horizontal="left" vertical="center"/>
    </xf>
    <xf numFmtId="165" fontId="8" fillId="2" borderId="0" xfId="0" applyNumberFormat="1" applyFont="1" applyFill="1" applyBorder="1" applyAlignment="1">
      <alignment horizontal="center" vertical="center"/>
    </xf>
    <xf numFmtId="165" fontId="8" fillId="2" borderId="5"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164" fontId="8" fillId="2" borderId="0" xfId="0" applyNumberFormat="1" applyFont="1" applyFill="1" applyBorder="1" applyAlignment="1">
      <alignment horizontal="left" vertical="center"/>
    </xf>
    <xf numFmtId="164" fontId="9" fillId="2" borderId="0" xfId="0" applyNumberFormat="1" applyFont="1" applyFill="1" applyAlignment="1">
      <alignment horizontal="center" vertical="center"/>
    </xf>
    <xf numFmtId="164" fontId="9" fillId="2" borderId="0" xfId="0" applyNumberFormat="1" applyFont="1" applyFill="1" applyBorder="1" applyAlignment="1">
      <alignment horizontal="center" vertical="center"/>
    </xf>
    <xf numFmtId="0" fontId="1" fillId="0" borderId="0" xfId="0" applyFont="1" applyBorder="1"/>
    <xf numFmtId="0" fontId="14" fillId="0" borderId="0" xfId="0" applyFont="1" applyBorder="1" applyAlignment="1">
      <alignment vertical="top"/>
    </xf>
    <xf numFmtId="3" fontId="8" fillId="0" borderId="0" xfId="0" applyNumberFormat="1" applyFont="1" applyAlignment="1">
      <alignment vertical="center"/>
    </xf>
    <xf numFmtId="1" fontId="8" fillId="0" borderId="0" xfId="0" applyNumberFormat="1" applyFont="1" applyAlignment="1">
      <alignment vertical="center"/>
    </xf>
    <xf numFmtId="164" fontId="7" fillId="0" borderId="1" xfId="0" applyNumberFormat="1" applyFont="1" applyBorder="1" applyAlignment="1">
      <alignment horizontal="left" vertical="center"/>
    </xf>
    <xf numFmtId="164" fontId="8" fillId="0" borderId="1" xfId="0" applyNumberFormat="1" applyFont="1" applyBorder="1" applyAlignment="1">
      <alignment horizontal="center" vertical="center"/>
    </xf>
    <xf numFmtId="164" fontId="8" fillId="0" borderId="3" xfId="0" applyNumberFormat="1" applyFont="1" applyBorder="1" applyAlignment="1">
      <alignment horizontal="center" vertical="center"/>
    </xf>
    <xf numFmtId="3" fontId="8" fillId="2" borderId="5" xfId="0" applyNumberFormat="1" applyFont="1" applyFill="1" applyBorder="1" applyAlignment="1"/>
    <xf numFmtId="0" fontId="0" fillId="0" borderId="5" xfId="0" applyBorder="1"/>
    <xf numFmtId="165" fontId="7" fillId="0" borderId="5" xfId="0" applyNumberFormat="1" applyFont="1" applyFill="1" applyBorder="1" applyAlignment="1">
      <alignment horizontal="center"/>
    </xf>
    <xf numFmtId="164" fontId="8" fillId="0" borderId="4" xfId="0" applyNumberFormat="1" applyFont="1" applyBorder="1" applyAlignment="1">
      <alignment horizontal="center" vertical="center"/>
    </xf>
    <xf numFmtId="0" fontId="18" fillId="0" borderId="4" xfId="0" applyFont="1" applyBorder="1" applyAlignment="1">
      <alignment horizontal="center"/>
    </xf>
    <xf numFmtId="0" fontId="21" fillId="2" borderId="5" xfId="0" applyFont="1" applyFill="1" applyBorder="1" applyAlignment="1"/>
    <xf numFmtId="164" fontId="21" fillId="2" borderId="5" xfId="0" applyNumberFormat="1" applyFont="1" applyFill="1" applyBorder="1" applyAlignment="1">
      <alignment horizontal="center" vertical="center"/>
    </xf>
    <xf numFmtId="165" fontId="21" fillId="2" borderId="5" xfId="0" applyNumberFormat="1" applyFont="1" applyFill="1" applyBorder="1" applyAlignment="1">
      <alignment horizontal="center" vertical="center"/>
    </xf>
    <xf numFmtId="0" fontId="21" fillId="0" borderId="0" xfId="0" applyFont="1" applyBorder="1" applyAlignment="1"/>
    <xf numFmtId="164" fontId="21" fillId="0" borderId="0" xfId="0" applyNumberFormat="1" applyFont="1" applyBorder="1" applyAlignment="1">
      <alignment horizontal="center" vertical="center"/>
    </xf>
    <xf numFmtId="165" fontId="21" fillId="0" borderId="0" xfId="0" applyNumberFormat="1" applyFont="1" applyBorder="1" applyAlignment="1">
      <alignment horizontal="center" vertical="center"/>
    </xf>
    <xf numFmtId="164" fontId="21" fillId="0" borderId="0" xfId="0" applyNumberFormat="1" applyFont="1" applyBorder="1" applyAlignment="1">
      <alignment horizontal="center"/>
    </xf>
    <xf numFmtId="165" fontId="21" fillId="0" borderId="0" xfId="0" applyNumberFormat="1" applyFont="1" applyBorder="1" applyAlignment="1">
      <alignment horizontal="center"/>
    </xf>
    <xf numFmtId="164" fontId="21" fillId="0" borderId="0" xfId="0" applyNumberFormat="1" applyFont="1" applyAlignment="1">
      <alignment horizontal="center"/>
    </xf>
    <xf numFmtId="165" fontId="21" fillId="0" borderId="0" xfId="0" applyNumberFormat="1" applyFont="1" applyAlignment="1">
      <alignment horizontal="center"/>
    </xf>
    <xf numFmtId="0" fontId="22" fillId="0" borderId="0" xfId="0" applyFont="1" applyBorder="1" applyAlignment="1"/>
    <xf numFmtId="164" fontId="21" fillId="0" borderId="5" xfId="0" applyNumberFormat="1" applyFont="1" applyBorder="1" applyAlignment="1">
      <alignment horizontal="center" vertical="center"/>
    </xf>
    <xf numFmtId="0" fontId="23" fillId="0" borderId="0" xfId="0" applyFont="1" applyBorder="1" applyAlignment="1">
      <alignment horizontal="center"/>
    </xf>
    <xf numFmtId="0" fontId="24" fillId="0" borderId="0" xfId="0" applyFont="1" applyAlignment="1"/>
    <xf numFmtId="164" fontId="24" fillId="0" borderId="0" xfId="0" applyNumberFormat="1" applyFont="1" applyBorder="1" applyAlignment="1">
      <alignment horizontal="center"/>
    </xf>
    <xf numFmtId="165" fontId="24" fillId="0" borderId="0" xfId="0" applyNumberFormat="1" applyFont="1" applyBorder="1" applyAlignment="1">
      <alignment horizontal="center"/>
    </xf>
    <xf numFmtId="164" fontId="24" fillId="0" borderId="5" xfId="0" applyNumberFormat="1" applyFont="1" applyBorder="1" applyAlignment="1">
      <alignment horizontal="center"/>
    </xf>
    <xf numFmtId="164" fontId="24" fillId="0" borderId="3" xfId="0" applyNumberFormat="1" applyFont="1" applyBorder="1" applyAlignment="1">
      <alignment horizontal="center"/>
    </xf>
    <xf numFmtId="164" fontId="24" fillId="0" borderId="7" xfId="0" applyNumberFormat="1" applyFont="1" applyBorder="1" applyAlignment="1">
      <alignment horizontal="center"/>
    </xf>
    <xf numFmtId="165" fontId="21" fillId="0" borderId="5" xfId="0" applyNumberFormat="1" applyFont="1" applyBorder="1" applyAlignment="1">
      <alignment horizontal="center" vertical="center"/>
    </xf>
    <xf numFmtId="164" fontId="21" fillId="0" borderId="0" xfId="0" applyNumberFormat="1" applyFont="1" applyAlignment="1">
      <alignment horizontal="center" vertical="center"/>
    </xf>
    <xf numFmtId="164" fontId="21" fillId="0" borderId="1" xfId="0" applyNumberFormat="1" applyFont="1" applyBorder="1" applyAlignment="1">
      <alignment horizontal="center" vertical="center"/>
    </xf>
    <xf numFmtId="164" fontId="24" fillId="0" borderId="0" xfId="0" applyNumberFormat="1" applyFont="1" applyAlignment="1">
      <alignment horizontal="center"/>
    </xf>
    <xf numFmtId="164" fontId="25" fillId="2" borderId="5" xfId="0" applyNumberFormat="1" applyFont="1" applyFill="1" applyBorder="1" applyAlignment="1">
      <alignment horizontal="center" vertical="center"/>
    </xf>
    <xf numFmtId="0" fontId="19" fillId="0" borderId="0" xfId="0" applyFont="1" applyAlignment="1"/>
    <xf numFmtId="164" fontId="20" fillId="0" borderId="0" xfId="0" applyNumberFormat="1" applyFont="1" applyAlignment="1">
      <alignment horizontal="left"/>
    </xf>
    <xf numFmtId="164" fontId="20" fillId="0" borderId="0" xfId="0" applyNumberFormat="1" applyFont="1" applyAlignment="1">
      <alignment horizontal="center"/>
    </xf>
    <xf numFmtId="164" fontId="20" fillId="0" borderId="0" xfId="0" applyNumberFormat="1" applyFont="1" applyBorder="1" applyAlignment="1">
      <alignment horizontal="center"/>
    </xf>
    <xf numFmtId="0" fontId="20" fillId="0" borderId="0" xfId="0" applyFont="1" applyAlignment="1"/>
    <xf numFmtId="0" fontId="16" fillId="0" borderId="0" xfId="0" applyFont="1" applyAlignment="1"/>
    <xf numFmtId="164" fontId="16" fillId="0" borderId="0" xfId="0" applyNumberFormat="1" applyFont="1" applyAlignment="1">
      <alignment horizontal="left"/>
    </xf>
    <xf numFmtId="0" fontId="16" fillId="0" borderId="0" xfId="0" applyFont="1" applyBorder="1" applyAlignment="1"/>
    <xf numFmtId="0" fontId="16" fillId="0" borderId="0" xfId="0" applyFont="1" applyAlignment="1">
      <alignment vertical="top"/>
    </xf>
    <xf numFmtId="164" fontId="16" fillId="0" borderId="0" xfId="0" applyNumberFormat="1" applyFont="1" applyAlignment="1">
      <alignment horizontal="left" vertical="top"/>
    </xf>
    <xf numFmtId="164" fontId="20" fillId="0" borderId="0" xfId="0" applyNumberFormat="1" applyFont="1" applyAlignment="1">
      <alignment horizontal="center" vertical="top"/>
    </xf>
    <xf numFmtId="0" fontId="16" fillId="0" borderId="0" xfId="0" applyFont="1" applyBorder="1" applyAlignment="1">
      <alignment vertical="top"/>
    </xf>
    <xf numFmtId="0" fontId="12" fillId="0" borderId="0" xfId="0" applyFont="1" applyAlignment="1">
      <alignment horizontal="left" wrapText="1"/>
    </xf>
    <xf numFmtId="0" fontId="3" fillId="0" borderId="0" xfId="0" applyFont="1" applyBorder="1" applyAlignment="1">
      <alignment horizontal="left"/>
    </xf>
    <xf numFmtId="0" fontId="26" fillId="0" borderId="0" xfId="0" applyFont="1" applyBorder="1"/>
    <xf numFmtId="0" fontId="26" fillId="0" borderId="0" xfId="0" applyFont="1" applyBorder="1" applyAlignment="1"/>
    <xf numFmtId="0" fontId="27" fillId="0" borderId="0" xfId="0" applyFont="1"/>
    <xf numFmtId="0" fontId="28" fillId="0" borderId="0" xfId="0" applyFont="1" applyBorder="1" applyAlignment="1">
      <alignment horizontal="center"/>
    </xf>
    <xf numFmtId="0" fontId="28" fillId="0" borderId="6" xfId="0" applyFont="1" applyBorder="1" applyAlignment="1">
      <alignment horizontal="center"/>
    </xf>
    <xf numFmtId="0" fontId="28" fillId="0" borderId="1" xfId="0" applyFont="1" applyBorder="1" applyAlignment="1">
      <alignment horizontal="center"/>
    </xf>
    <xf numFmtId="0" fontId="30" fillId="0" borderId="4" xfId="0" applyFont="1" applyBorder="1" applyAlignment="1">
      <alignment horizontal="center"/>
    </xf>
    <xf numFmtId="0" fontId="31" fillId="2" borderId="5" xfId="0" applyFont="1" applyFill="1" applyBorder="1" applyAlignment="1"/>
    <xf numFmtId="0" fontId="31" fillId="2" borderId="6" xfId="0" applyFont="1" applyFill="1" applyBorder="1" applyAlignment="1"/>
    <xf numFmtId="164" fontId="31" fillId="2" borderId="5" xfId="0" applyNumberFormat="1" applyFont="1" applyFill="1" applyBorder="1" applyAlignment="1">
      <alignment horizontal="center" vertical="center"/>
    </xf>
    <xf numFmtId="164" fontId="31" fillId="2" borderId="6" xfId="0" applyNumberFormat="1" applyFont="1" applyFill="1" applyBorder="1" applyAlignment="1">
      <alignment horizontal="center" vertical="center"/>
    </xf>
    <xf numFmtId="165" fontId="31" fillId="2" borderId="5" xfId="0" applyNumberFormat="1" applyFont="1" applyFill="1" applyBorder="1" applyAlignment="1">
      <alignment horizontal="center" vertical="center"/>
    </xf>
    <xf numFmtId="165" fontId="31" fillId="2" borderId="6" xfId="0" applyNumberFormat="1" applyFont="1" applyFill="1" applyBorder="1" applyAlignment="1">
      <alignment horizontal="center" vertical="center"/>
    </xf>
    <xf numFmtId="0" fontId="31" fillId="0" borderId="0" xfId="0" applyFont="1" applyBorder="1" applyAlignment="1"/>
    <xf numFmtId="0" fontId="31" fillId="0" borderId="6" xfId="0" applyFont="1" applyBorder="1" applyAlignment="1"/>
    <xf numFmtId="164" fontId="31" fillId="0" borderId="0" xfId="0" applyNumberFormat="1" applyFont="1" applyBorder="1" applyAlignment="1">
      <alignment horizontal="center" vertical="center"/>
    </xf>
    <xf numFmtId="164" fontId="31" fillId="0" borderId="6" xfId="0" applyNumberFormat="1" applyFont="1" applyBorder="1" applyAlignment="1">
      <alignment horizontal="center" vertical="center"/>
    </xf>
    <xf numFmtId="165" fontId="31" fillId="0" borderId="0" xfId="0" applyNumberFormat="1" applyFont="1" applyBorder="1" applyAlignment="1">
      <alignment horizontal="center" vertical="center"/>
    </xf>
    <xf numFmtId="165" fontId="31" fillId="0" borderId="6" xfId="0" applyNumberFormat="1" applyFont="1" applyBorder="1" applyAlignment="1">
      <alignment horizontal="center" vertical="center"/>
    </xf>
    <xf numFmtId="164" fontId="31" fillId="0" borderId="0" xfId="0" applyNumberFormat="1" applyFont="1" applyBorder="1" applyAlignment="1">
      <alignment horizontal="center"/>
    </xf>
    <xf numFmtId="164" fontId="31" fillId="0" borderId="6" xfId="0" applyNumberFormat="1" applyFont="1" applyBorder="1" applyAlignment="1">
      <alignment horizontal="center"/>
    </xf>
    <xf numFmtId="165" fontId="31" fillId="0" borderId="0" xfId="0" applyNumberFormat="1" applyFont="1" applyBorder="1" applyAlignment="1">
      <alignment horizontal="center"/>
    </xf>
    <xf numFmtId="165" fontId="31" fillId="0" borderId="6" xfId="0" applyNumberFormat="1" applyFont="1" applyBorder="1" applyAlignment="1">
      <alignment horizontal="center"/>
    </xf>
    <xf numFmtId="164" fontId="31" fillId="0" borderId="0" xfId="0" applyNumberFormat="1" applyFont="1" applyAlignment="1">
      <alignment horizontal="center"/>
    </xf>
    <xf numFmtId="165" fontId="31" fillId="0" borderId="0" xfId="0" applyNumberFormat="1" applyFont="1" applyAlignment="1">
      <alignment horizontal="center"/>
    </xf>
    <xf numFmtId="0" fontId="32" fillId="0" borderId="0" xfId="0" applyFont="1" applyBorder="1" applyAlignment="1"/>
    <xf numFmtId="0" fontId="32" fillId="0" borderId="6" xfId="0" applyFont="1" applyBorder="1" applyAlignment="1"/>
    <xf numFmtId="164" fontId="31" fillId="0" borderId="5" xfId="0" applyNumberFormat="1" applyFont="1" applyBorder="1" applyAlignment="1">
      <alignment horizontal="center" vertical="center"/>
    </xf>
    <xf numFmtId="0" fontId="33" fillId="0" borderId="0" xfId="0" applyFont="1" applyAlignment="1"/>
    <xf numFmtId="0" fontId="33" fillId="0" borderId="6" xfId="0" applyFont="1" applyBorder="1" applyAlignment="1"/>
    <xf numFmtId="164" fontId="33" fillId="0" borderId="0" xfId="0" applyNumberFormat="1" applyFont="1" applyBorder="1" applyAlignment="1">
      <alignment horizontal="center"/>
    </xf>
    <xf numFmtId="164" fontId="33" fillId="0" borderId="6" xfId="0" applyNumberFormat="1" applyFont="1" applyBorder="1" applyAlignment="1">
      <alignment horizontal="center"/>
    </xf>
    <xf numFmtId="165" fontId="33" fillId="0" borderId="0" xfId="0" applyNumberFormat="1" applyFont="1" applyBorder="1" applyAlignment="1">
      <alignment horizontal="center"/>
    </xf>
    <xf numFmtId="165" fontId="33" fillId="0" borderId="6" xfId="0" applyNumberFormat="1" applyFont="1" applyBorder="1" applyAlignment="1">
      <alignment horizontal="center"/>
    </xf>
    <xf numFmtId="164" fontId="33" fillId="0" borderId="5" xfId="0" applyNumberFormat="1" applyFont="1" applyBorder="1" applyAlignment="1">
      <alignment horizontal="center"/>
    </xf>
    <xf numFmtId="164" fontId="33" fillId="0" borderId="3" xfId="0" applyNumberFormat="1" applyFont="1" applyBorder="1" applyAlignment="1">
      <alignment horizontal="center"/>
    </xf>
    <xf numFmtId="164" fontId="33" fillId="0" borderId="4" xfId="0" applyNumberFormat="1" applyFont="1" applyBorder="1" applyAlignment="1">
      <alignment horizontal="center"/>
    </xf>
    <xf numFmtId="164" fontId="33" fillId="0" borderId="7" xfId="0" applyNumberFormat="1" applyFont="1" applyBorder="1" applyAlignment="1">
      <alignment horizontal="center"/>
    </xf>
    <xf numFmtId="164" fontId="33" fillId="0" borderId="2" xfId="0" applyNumberFormat="1" applyFont="1" applyBorder="1" applyAlignment="1">
      <alignment horizontal="center"/>
    </xf>
    <xf numFmtId="165" fontId="31" fillId="0" borderId="5" xfId="0" applyNumberFormat="1" applyFont="1" applyBorder="1" applyAlignment="1">
      <alignment horizontal="center" vertical="center"/>
    </xf>
    <xf numFmtId="164" fontId="31" fillId="0" borderId="0" xfId="0" applyNumberFormat="1" applyFont="1" applyAlignment="1">
      <alignment horizontal="center" vertical="center"/>
    </xf>
    <xf numFmtId="164" fontId="31" fillId="0" borderId="1" xfId="0" applyNumberFormat="1" applyFont="1" applyBorder="1" applyAlignment="1">
      <alignment horizontal="center" vertical="center"/>
    </xf>
    <xf numFmtId="164" fontId="31" fillId="0" borderId="4" xfId="0" applyNumberFormat="1" applyFont="1" applyBorder="1" applyAlignment="1">
      <alignment horizontal="center" vertical="center"/>
    </xf>
    <xf numFmtId="164" fontId="33" fillId="0" borderId="0" xfId="0" applyNumberFormat="1" applyFont="1" applyAlignment="1">
      <alignment horizontal="center"/>
    </xf>
    <xf numFmtId="164" fontId="34" fillId="0" borderId="0" xfId="0" applyNumberFormat="1" applyFont="1" applyAlignment="1">
      <alignment horizontal="center"/>
    </xf>
    <xf numFmtId="0" fontId="35" fillId="0" borderId="0" xfId="0" applyFont="1" applyAlignment="1"/>
    <xf numFmtId="0" fontId="36" fillId="0" borderId="0" xfId="0" applyFont="1" applyAlignment="1">
      <alignment vertical="top"/>
    </xf>
    <xf numFmtId="0" fontId="35" fillId="0" borderId="0" xfId="0" applyFont="1" applyAlignment="1">
      <alignment vertical="top"/>
    </xf>
    <xf numFmtId="0" fontId="37" fillId="0" borderId="0" xfId="0" applyFont="1" applyAlignment="1">
      <alignment horizontal="left" wrapText="1"/>
    </xf>
    <xf numFmtId="0" fontId="26" fillId="0" borderId="0" xfId="0" applyFont="1" applyAlignment="1"/>
    <xf numFmtId="0" fontId="26" fillId="0" borderId="0" xfId="0" applyFont="1"/>
    <xf numFmtId="0" fontId="12" fillId="0" borderId="0" xfId="0" applyFont="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57150</xdr:rowOff>
    </xdr:from>
    <xdr:to>
      <xdr:col>64</xdr:col>
      <xdr:colOff>0</xdr:colOff>
      <xdr:row>0</xdr:row>
      <xdr:rowOff>161925</xdr:rowOff>
    </xdr:to>
    <xdr:grpSp>
      <xdr:nvGrpSpPr>
        <xdr:cNvPr id="1448" name="Group 11"/>
        <xdr:cNvGrpSpPr>
          <a:grpSpLocks noChangeAspect="1"/>
        </xdr:cNvGrpSpPr>
      </xdr:nvGrpSpPr>
      <xdr:grpSpPr bwMode="auto">
        <a:xfrm>
          <a:off x="9525" y="57150"/>
          <a:ext cx="6410325" cy="104775"/>
          <a:chOff x="1" y="16"/>
          <a:chExt cx="796" cy="13"/>
        </a:xfrm>
      </xdr:grpSpPr>
      <xdr:pic>
        <xdr:nvPicPr>
          <xdr:cNvPr id="1449" name="Picture 12"/>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 y="16"/>
            <a:ext cx="112" cy="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50" name="Line 13"/>
          <xdr:cNvSpPr>
            <a:spLocks noChangeAspect="1" noChangeShapeType="1"/>
          </xdr:cNvSpPr>
        </xdr:nvSpPr>
        <xdr:spPr bwMode="auto">
          <a:xfrm>
            <a:off x="1" y="29"/>
            <a:ext cx="796"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P355"/>
  <sheetViews>
    <sheetView showGridLines="0" tabSelected="1" view="pageBreakPreview" zoomScaleNormal="150" zoomScaleSheetLayoutView="100" workbookViewId="0">
      <selection activeCell="BP36" sqref="BP36"/>
    </sheetView>
  </sheetViews>
  <sheetFormatPr defaultColWidth="11.42578125" defaultRowHeight="12.75"/>
  <cols>
    <col min="1" max="1" width="0.85546875" style="6" customWidth="1"/>
    <col min="2" max="2" width="27.28515625" style="6" customWidth="1"/>
    <col min="3" max="4" width="6.7109375" hidden="1" customWidth="1"/>
    <col min="5" max="5" width="6.5703125" hidden="1" customWidth="1"/>
    <col min="6" max="14" width="6.7109375" hidden="1" customWidth="1"/>
    <col min="15" max="28" width="7.42578125" hidden="1" customWidth="1"/>
    <col min="29" max="30" width="6.7109375" hidden="1" customWidth="1"/>
    <col min="31" max="40" width="7.7109375" hidden="1" customWidth="1"/>
    <col min="41" max="43" width="7.5703125" hidden="1" customWidth="1"/>
    <col min="44" max="47" width="7.5703125" style="2" hidden="1" customWidth="1"/>
    <col min="48" max="50" width="7.5703125" hidden="1" customWidth="1"/>
    <col min="51" max="54" width="7.5703125" style="45" hidden="1" customWidth="1"/>
    <col min="55" max="58" width="7.5703125" style="45" customWidth="1"/>
    <col min="59" max="61" width="7.5703125" customWidth="1"/>
    <col min="62" max="63" width="7.5703125" style="225" customWidth="1"/>
    <col min="64" max="65" width="12.7109375" hidden="1" customWidth="1"/>
    <col min="66" max="66" width="12.7109375" customWidth="1"/>
  </cols>
  <sheetData>
    <row r="1" spans="1:328" s="2" customFormat="1" ht="15" customHeight="1">
      <c r="A1" s="5"/>
      <c r="B1" s="5"/>
      <c r="AY1" s="43"/>
      <c r="AZ1" s="43"/>
      <c r="BA1" s="43"/>
      <c r="BB1" s="43"/>
      <c r="BC1" s="43"/>
      <c r="BD1" s="43"/>
      <c r="BE1" s="43"/>
      <c r="BF1" s="43"/>
      <c r="BJ1" s="175"/>
      <c r="BK1" s="175"/>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row>
    <row r="2" spans="1:328" s="9" customFormat="1" ht="16.5" customHeight="1">
      <c r="A2" s="7" t="s">
        <v>22</v>
      </c>
      <c r="B2" s="7"/>
      <c r="AY2" s="44"/>
      <c r="AZ2" s="44"/>
      <c r="BA2" s="44"/>
      <c r="BB2" s="44"/>
      <c r="BC2" s="44"/>
      <c r="BD2" s="44"/>
      <c r="BE2" s="44"/>
      <c r="BF2" s="44"/>
      <c r="BJ2" s="176"/>
      <c r="BK2" s="176"/>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row>
    <row r="3" spans="1:328" s="9" customFormat="1" ht="16.5" customHeight="1">
      <c r="A3" s="7" t="s">
        <v>23</v>
      </c>
      <c r="B3" s="7"/>
      <c r="AY3" s="44"/>
      <c r="AZ3" s="44"/>
      <c r="BA3" s="44"/>
      <c r="BB3" s="44"/>
      <c r="BC3" s="44"/>
      <c r="BD3" s="44"/>
      <c r="BE3" s="44"/>
      <c r="BF3" s="44"/>
      <c r="BJ3" s="176"/>
      <c r="BK3" s="176"/>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row>
    <row r="4" spans="1:328" s="1" customFormat="1" ht="12" customHeight="1">
      <c r="A4" s="8" t="s">
        <v>0</v>
      </c>
      <c r="B4" s="8"/>
      <c r="AR4" s="125"/>
      <c r="AS4" s="125"/>
      <c r="AT4" s="125"/>
      <c r="AU4" s="125"/>
      <c r="BJ4" s="177"/>
      <c r="BK4" s="177"/>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row>
    <row r="5" spans="1:328" s="1" customFormat="1" ht="5.25" customHeight="1">
      <c r="A5" s="8"/>
      <c r="B5" s="8"/>
      <c r="AR5" s="125"/>
      <c r="AS5" s="125"/>
      <c r="AT5" s="125"/>
      <c r="AU5" s="125"/>
      <c r="BJ5" s="177"/>
      <c r="BK5" s="177"/>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row>
    <row r="6" spans="1:328" s="12" customFormat="1" ht="14.25">
      <c r="A6" s="10"/>
      <c r="B6" s="10"/>
      <c r="C6" s="11" t="s">
        <v>1</v>
      </c>
      <c r="D6" s="11" t="s">
        <v>2</v>
      </c>
      <c r="E6" s="11" t="s">
        <v>1</v>
      </c>
      <c r="F6" s="11" t="s">
        <v>2</v>
      </c>
      <c r="G6" s="11" t="s">
        <v>1</v>
      </c>
      <c r="H6" s="11" t="s">
        <v>2</v>
      </c>
      <c r="I6" s="11" t="s">
        <v>1</v>
      </c>
      <c r="J6" s="11" t="s">
        <v>2</v>
      </c>
      <c r="K6" s="11" t="s">
        <v>1</v>
      </c>
      <c r="L6" s="11" t="s">
        <v>2</v>
      </c>
      <c r="M6" s="11" t="s">
        <v>1</v>
      </c>
      <c r="N6" s="11" t="s">
        <v>2</v>
      </c>
      <c r="O6" s="11" t="s">
        <v>1</v>
      </c>
      <c r="P6" s="11" t="s">
        <v>2</v>
      </c>
      <c r="Q6" s="11" t="s">
        <v>1</v>
      </c>
      <c r="R6" s="11" t="s">
        <v>2</v>
      </c>
      <c r="S6" s="11" t="s">
        <v>1</v>
      </c>
      <c r="T6" s="11" t="s">
        <v>2</v>
      </c>
      <c r="U6" s="11" t="s">
        <v>1</v>
      </c>
      <c r="V6" s="11" t="s">
        <v>2</v>
      </c>
      <c r="W6" s="11" t="s">
        <v>1</v>
      </c>
      <c r="X6" s="11" t="s">
        <v>2</v>
      </c>
      <c r="Y6" s="11" t="s">
        <v>1</v>
      </c>
      <c r="Z6" s="11" t="s">
        <v>2</v>
      </c>
      <c r="AA6" s="11" t="s">
        <v>1</v>
      </c>
      <c r="AB6" s="11" t="s">
        <v>2</v>
      </c>
      <c r="AC6" s="11" t="s">
        <v>1</v>
      </c>
      <c r="AD6" s="11" t="s">
        <v>2</v>
      </c>
      <c r="AE6" s="11" t="s">
        <v>1</v>
      </c>
      <c r="AF6" s="11" t="s">
        <v>2</v>
      </c>
      <c r="AG6" s="11" t="s">
        <v>1</v>
      </c>
      <c r="AH6" s="11" t="s">
        <v>2</v>
      </c>
      <c r="AI6" s="11" t="s">
        <v>1</v>
      </c>
      <c r="AJ6" s="11" t="s">
        <v>2</v>
      </c>
      <c r="AK6" s="11" t="s">
        <v>1</v>
      </c>
      <c r="AL6" s="11" t="s">
        <v>2</v>
      </c>
      <c r="AM6" s="11" t="s">
        <v>1</v>
      </c>
      <c r="AN6" s="11" t="s">
        <v>2</v>
      </c>
      <c r="AO6" s="11" t="s">
        <v>1</v>
      </c>
      <c r="AP6" s="11" t="s">
        <v>2</v>
      </c>
      <c r="AQ6" s="11" t="s">
        <v>1</v>
      </c>
      <c r="AR6" s="11" t="s">
        <v>2</v>
      </c>
      <c r="AS6" s="11" t="s">
        <v>1</v>
      </c>
      <c r="AT6" s="11" t="s">
        <v>2</v>
      </c>
      <c r="AU6" s="11" t="s">
        <v>1</v>
      </c>
      <c r="AV6" s="79" t="s">
        <v>2</v>
      </c>
      <c r="AW6" s="80" t="s">
        <v>1</v>
      </c>
      <c r="AX6" s="79" t="s">
        <v>2</v>
      </c>
      <c r="AY6" s="80" t="s">
        <v>1</v>
      </c>
      <c r="AZ6" s="11" t="s">
        <v>2</v>
      </c>
      <c r="BA6" s="80" t="s">
        <v>39</v>
      </c>
      <c r="BB6" s="11" t="s">
        <v>29</v>
      </c>
      <c r="BC6" s="80" t="s">
        <v>40</v>
      </c>
      <c r="BD6" s="79" t="s">
        <v>30</v>
      </c>
      <c r="BE6" s="80" t="s">
        <v>40</v>
      </c>
      <c r="BF6" s="79" t="s">
        <v>30</v>
      </c>
      <c r="BG6" s="80" t="s">
        <v>40</v>
      </c>
      <c r="BH6" s="79" t="s">
        <v>30</v>
      </c>
      <c r="BI6" s="80" t="s">
        <v>40</v>
      </c>
      <c r="BJ6" s="178" t="s">
        <v>45</v>
      </c>
      <c r="BK6" s="179" t="s">
        <v>46</v>
      </c>
      <c r="BL6" s="11" t="s">
        <v>30</v>
      </c>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row>
    <row r="7" spans="1:328" s="12" customFormat="1" ht="9.75" customHeight="1">
      <c r="A7" s="13" t="s">
        <v>19</v>
      </c>
      <c r="B7" s="13"/>
      <c r="C7" s="14">
        <v>1988</v>
      </c>
      <c r="D7" s="14">
        <v>1989</v>
      </c>
      <c r="E7" s="14">
        <v>1989</v>
      </c>
      <c r="F7" s="14">
        <v>1990</v>
      </c>
      <c r="G7" s="14">
        <v>1990</v>
      </c>
      <c r="H7" s="14">
        <v>1991</v>
      </c>
      <c r="I7" s="14">
        <v>1991</v>
      </c>
      <c r="J7" s="14">
        <v>1992</v>
      </c>
      <c r="K7" s="14">
        <v>1992</v>
      </c>
      <c r="L7" s="14">
        <v>1993</v>
      </c>
      <c r="M7" s="14">
        <v>1993</v>
      </c>
      <c r="N7" s="14">
        <v>1994</v>
      </c>
      <c r="O7" s="14">
        <v>1994</v>
      </c>
      <c r="P7" s="14">
        <v>1995</v>
      </c>
      <c r="Q7" s="14">
        <v>1995</v>
      </c>
      <c r="R7" s="14">
        <v>1996</v>
      </c>
      <c r="S7" s="14">
        <v>1996</v>
      </c>
      <c r="T7" s="14">
        <v>1997</v>
      </c>
      <c r="U7" s="14">
        <v>1997</v>
      </c>
      <c r="V7" s="14">
        <v>1998</v>
      </c>
      <c r="W7" s="14">
        <v>1998</v>
      </c>
      <c r="X7" s="14">
        <v>1999</v>
      </c>
      <c r="Y7" s="14">
        <v>1999</v>
      </c>
      <c r="Z7" s="14">
        <v>2000</v>
      </c>
      <c r="AA7" s="14">
        <v>2000</v>
      </c>
      <c r="AB7" s="14">
        <v>2001</v>
      </c>
      <c r="AC7" s="14">
        <v>2001</v>
      </c>
      <c r="AD7" s="14">
        <v>2002</v>
      </c>
      <c r="AE7" s="14">
        <v>2002</v>
      </c>
      <c r="AF7" s="14">
        <v>2003</v>
      </c>
      <c r="AG7" s="14">
        <v>2003</v>
      </c>
      <c r="AH7" s="14">
        <v>2004</v>
      </c>
      <c r="AI7" s="14">
        <v>2004</v>
      </c>
      <c r="AJ7" s="14">
        <v>2005</v>
      </c>
      <c r="AK7" s="14">
        <v>2005</v>
      </c>
      <c r="AL7" s="14">
        <v>2006</v>
      </c>
      <c r="AM7" s="14">
        <v>2006</v>
      </c>
      <c r="AN7" s="14">
        <v>2007</v>
      </c>
      <c r="AO7" s="14">
        <v>2007</v>
      </c>
      <c r="AP7" s="14">
        <v>2008</v>
      </c>
      <c r="AQ7" s="14">
        <v>2008</v>
      </c>
      <c r="AR7" s="14">
        <v>2009</v>
      </c>
      <c r="AS7" s="14">
        <v>2009</v>
      </c>
      <c r="AT7" s="14">
        <v>2010</v>
      </c>
      <c r="AU7" s="14">
        <v>2010</v>
      </c>
      <c r="AV7" s="61">
        <v>2011</v>
      </c>
      <c r="AW7" s="62">
        <v>2011</v>
      </c>
      <c r="AX7" s="61">
        <v>2012</v>
      </c>
      <c r="AY7" s="62">
        <v>2012</v>
      </c>
      <c r="AZ7" s="14">
        <v>2013</v>
      </c>
      <c r="BA7" s="62">
        <v>2013</v>
      </c>
      <c r="BB7" s="14">
        <v>2014</v>
      </c>
      <c r="BC7" s="62">
        <v>2014</v>
      </c>
      <c r="BD7" s="14">
        <v>2015</v>
      </c>
      <c r="BE7" s="62">
        <v>2015</v>
      </c>
      <c r="BF7" s="61">
        <v>2016</v>
      </c>
      <c r="BG7" s="62">
        <v>2016</v>
      </c>
      <c r="BH7" s="61">
        <v>2017</v>
      </c>
      <c r="BI7" s="136">
        <v>2017</v>
      </c>
      <c r="BJ7" s="180">
        <v>2018</v>
      </c>
      <c r="BK7" s="181">
        <v>2018</v>
      </c>
      <c r="BL7" s="14">
        <v>2019</v>
      </c>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row>
    <row r="8" spans="1:328" s="16" customFormat="1">
      <c r="A8" s="47" t="s">
        <v>27</v>
      </c>
      <c r="B8" s="47"/>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55"/>
      <c r="AS8" s="55"/>
      <c r="AT8" s="55"/>
      <c r="AU8" s="55"/>
      <c r="AV8" s="63"/>
      <c r="AW8" s="64"/>
      <c r="AX8" s="63"/>
      <c r="AY8" s="64"/>
      <c r="AZ8" s="48"/>
      <c r="BA8" s="64"/>
      <c r="BB8" s="48"/>
      <c r="BC8" s="64"/>
      <c r="BD8" s="48"/>
      <c r="BE8" s="64"/>
      <c r="BF8" s="63"/>
      <c r="BG8" s="64"/>
      <c r="BH8" s="63"/>
      <c r="BI8" s="64"/>
      <c r="BJ8" s="182"/>
      <c r="BK8" s="183"/>
      <c r="BL8" s="137"/>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row>
    <row r="9" spans="1:328" s="105" customFormat="1" ht="9" customHeight="1">
      <c r="A9" s="112"/>
      <c r="B9" s="113" t="s">
        <v>17</v>
      </c>
      <c r="C9" s="112">
        <v>20888</v>
      </c>
      <c r="D9" s="112">
        <v>20492</v>
      </c>
      <c r="E9" s="112">
        <v>21445</v>
      </c>
      <c r="F9" s="112">
        <v>21596</v>
      </c>
      <c r="G9" s="112">
        <v>21232</v>
      </c>
      <c r="H9" s="112">
        <v>21183</v>
      </c>
      <c r="I9" s="112">
        <f>23737+3</f>
        <v>23740</v>
      </c>
      <c r="J9" s="112">
        <f>21993+96</f>
        <v>22089</v>
      </c>
      <c r="K9" s="112">
        <f>25546+287</f>
        <v>25833</v>
      </c>
      <c r="L9" s="112">
        <f>23986+199</f>
        <v>24185</v>
      </c>
      <c r="M9" s="112">
        <f>26566+133</f>
        <v>26699</v>
      </c>
      <c r="N9" s="112">
        <f>24379+303</f>
        <v>24682</v>
      </c>
      <c r="O9" s="112">
        <f>26910+83</f>
        <v>26993</v>
      </c>
      <c r="P9" s="112">
        <f>25521+296</f>
        <v>25817</v>
      </c>
      <c r="Q9" s="112">
        <f>27379+273</f>
        <v>27652</v>
      </c>
      <c r="R9" s="112">
        <f>25657+339</f>
        <v>25996</v>
      </c>
      <c r="S9" s="112">
        <f>28047+305</f>
        <v>28352</v>
      </c>
      <c r="T9" s="112">
        <f>25861+476</f>
        <v>26337</v>
      </c>
      <c r="U9" s="112">
        <f>27773+406</f>
        <v>28179</v>
      </c>
      <c r="V9" s="112">
        <v>24959</v>
      </c>
      <c r="W9" s="112">
        <f>30597+382</f>
        <v>30979</v>
      </c>
      <c r="X9" s="112">
        <f>25346+684</f>
        <v>26030</v>
      </c>
      <c r="Y9" s="112">
        <v>30963</v>
      </c>
      <c r="Z9" s="112">
        <v>27254</v>
      </c>
      <c r="AA9" s="112">
        <v>29535</v>
      </c>
      <c r="AB9" s="112">
        <v>26307</v>
      </c>
      <c r="AC9" s="112">
        <v>30326</v>
      </c>
      <c r="AD9" s="112">
        <v>27383</v>
      </c>
      <c r="AE9" s="112">
        <v>30536</v>
      </c>
      <c r="AF9" s="112">
        <v>27113</v>
      </c>
      <c r="AG9" s="112">
        <v>29676</v>
      </c>
      <c r="AH9" s="112">
        <v>24027</v>
      </c>
      <c r="AI9" s="114">
        <v>28861</v>
      </c>
      <c r="AJ9" s="114">
        <v>27156</v>
      </c>
      <c r="AK9" s="114">
        <v>28914</v>
      </c>
      <c r="AL9" s="114">
        <v>24206</v>
      </c>
      <c r="AM9" s="114">
        <v>27939</v>
      </c>
      <c r="AN9" s="114">
        <v>24495</v>
      </c>
      <c r="AO9" s="114">
        <v>30559</v>
      </c>
      <c r="AP9" s="114">
        <v>26645</v>
      </c>
      <c r="AQ9" s="114">
        <v>31683</v>
      </c>
      <c r="AR9" s="114">
        <v>29554</v>
      </c>
      <c r="AS9" s="114">
        <v>38066</v>
      </c>
      <c r="AT9" s="114">
        <v>30839</v>
      </c>
      <c r="AU9" s="114">
        <v>39089</v>
      </c>
      <c r="AV9" s="115">
        <v>32014</v>
      </c>
      <c r="AW9" s="116">
        <v>39330</v>
      </c>
      <c r="AX9" s="115">
        <v>35143</v>
      </c>
      <c r="AY9" s="116">
        <v>43655</v>
      </c>
      <c r="AZ9" s="114">
        <v>41092</v>
      </c>
      <c r="BA9" s="116">
        <v>47967</v>
      </c>
      <c r="BB9" s="114">
        <v>40708</v>
      </c>
      <c r="BC9" s="116">
        <v>52899.060000000005</v>
      </c>
      <c r="BD9" s="114">
        <v>48750.18</v>
      </c>
      <c r="BE9" s="116">
        <f>54826.32-19</f>
        <v>54807.32</v>
      </c>
      <c r="BF9" s="115">
        <v>50165.34</v>
      </c>
      <c r="BG9" s="116">
        <v>54415.840000000004</v>
      </c>
      <c r="BH9" s="115">
        <v>49462.990000000013</v>
      </c>
      <c r="BI9" s="116">
        <v>53579.48</v>
      </c>
      <c r="BJ9" s="184">
        <v>48035.5</v>
      </c>
      <c r="BK9" s="185">
        <v>52701.7</v>
      </c>
      <c r="BL9" s="138"/>
      <c r="BM9" s="106"/>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row>
    <row r="10" spans="1:328" s="95" customFormat="1" ht="9" customHeight="1">
      <c r="A10" s="117"/>
      <c r="B10" s="118" t="s">
        <v>20</v>
      </c>
      <c r="C10" s="117">
        <v>129.13999999999999</v>
      </c>
      <c r="D10" s="117">
        <v>130.54</v>
      </c>
      <c r="E10" s="117">
        <v>124.58</v>
      </c>
      <c r="F10" s="117">
        <v>126.47</v>
      </c>
      <c r="G10" s="117">
        <v>127.98</v>
      </c>
      <c r="H10" s="117">
        <v>124.57</v>
      </c>
      <c r="I10" s="117">
        <v>109.79</v>
      </c>
      <c r="J10" s="117">
        <v>106.42</v>
      </c>
      <c r="K10" s="117">
        <v>109.69</v>
      </c>
      <c r="L10" s="117">
        <v>106.7</v>
      </c>
      <c r="M10" s="117">
        <v>107.53</v>
      </c>
      <c r="N10" s="117">
        <v>108.02</v>
      </c>
      <c r="O10" s="117">
        <v>108.21</v>
      </c>
      <c r="P10" s="117">
        <v>103.66</v>
      </c>
      <c r="Q10" s="117">
        <v>99.45</v>
      </c>
      <c r="R10" s="117">
        <v>100.97</v>
      </c>
      <c r="S10" s="117">
        <v>100.35</v>
      </c>
      <c r="T10" s="117">
        <v>103.97</v>
      </c>
      <c r="U10" s="117">
        <v>98.57</v>
      </c>
      <c r="V10" s="117">
        <v>100.36</v>
      </c>
      <c r="W10" s="117">
        <v>100.1</v>
      </c>
      <c r="X10" s="117">
        <v>103.59</v>
      </c>
      <c r="Y10" s="117">
        <v>102.8</v>
      </c>
      <c r="Z10" s="117">
        <v>100.54</v>
      </c>
      <c r="AA10" s="117">
        <v>95.25</v>
      </c>
      <c r="AB10" s="117">
        <v>97.17</v>
      </c>
      <c r="AC10" s="117">
        <v>95.33</v>
      </c>
      <c r="AD10" s="117">
        <v>96.18</v>
      </c>
      <c r="AE10" s="117">
        <v>93.9</v>
      </c>
      <c r="AF10" s="117">
        <v>91.66</v>
      </c>
      <c r="AG10" s="117">
        <v>97.08</v>
      </c>
      <c r="AH10" s="117">
        <v>97.14</v>
      </c>
      <c r="AI10" s="119">
        <v>114.69</v>
      </c>
      <c r="AJ10" s="119">
        <v>110.72</v>
      </c>
      <c r="AK10" s="119">
        <v>113.05</v>
      </c>
      <c r="AL10" s="119">
        <v>112.52</v>
      </c>
      <c r="AM10" s="119">
        <v>116.28</v>
      </c>
      <c r="AN10" s="119">
        <v>110.15</v>
      </c>
      <c r="AO10" s="119">
        <v>122.51</v>
      </c>
      <c r="AP10" s="119">
        <v>121.89</v>
      </c>
      <c r="AQ10" s="119">
        <v>128.41999999999999</v>
      </c>
      <c r="AR10" s="119">
        <v>129.78</v>
      </c>
      <c r="AS10" s="119">
        <v>128.59</v>
      </c>
      <c r="AT10" s="119">
        <v>120.1</v>
      </c>
      <c r="AU10" s="119">
        <v>111.2</v>
      </c>
      <c r="AV10" s="120">
        <v>103.59</v>
      </c>
      <c r="AW10" s="121">
        <v>111.44</v>
      </c>
      <c r="AX10" s="120">
        <v>103.57</v>
      </c>
      <c r="AY10" s="121">
        <v>111.67</v>
      </c>
      <c r="AZ10" s="119">
        <v>114.08</v>
      </c>
      <c r="BA10" s="121">
        <v>110.71</v>
      </c>
      <c r="BB10" s="119">
        <v>109.22</v>
      </c>
      <c r="BC10" s="121">
        <v>159.93700000000001</v>
      </c>
      <c r="BD10" s="119">
        <v>168.76999999999998</v>
      </c>
      <c r="BE10" s="121">
        <v>171.69560000000001</v>
      </c>
      <c r="BF10" s="120">
        <v>176.72</v>
      </c>
      <c r="BG10" s="121">
        <v>174.48000000000005</v>
      </c>
      <c r="BH10" s="120">
        <v>177.89</v>
      </c>
      <c r="BI10" s="121">
        <v>180.49999999999997</v>
      </c>
      <c r="BJ10" s="186">
        <v>183.26</v>
      </c>
      <c r="BK10" s="187">
        <v>179.97</v>
      </c>
      <c r="BL10" s="139"/>
      <c r="BM10" s="96"/>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row>
    <row r="11" spans="1:328" s="105" customFormat="1" ht="9" customHeight="1">
      <c r="A11" s="112"/>
      <c r="B11" s="113" t="s">
        <v>21</v>
      </c>
      <c r="C11" s="112">
        <f t="shared" ref="C11:L11" si="0">(C9/C10)</f>
        <v>161.74694130401116</v>
      </c>
      <c r="D11" s="112">
        <f t="shared" si="0"/>
        <v>156.97870384556458</v>
      </c>
      <c r="E11" s="112">
        <f t="shared" si="0"/>
        <v>172.13838497351099</v>
      </c>
      <c r="F11" s="112">
        <f t="shared" si="0"/>
        <v>170.75986399936744</v>
      </c>
      <c r="G11" s="112">
        <f t="shared" si="0"/>
        <v>165.90092201906546</v>
      </c>
      <c r="H11" s="112">
        <f t="shared" si="0"/>
        <v>170.04896845147309</v>
      </c>
      <c r="I11" s="112">
        <f t="shared" si="0"/>
        <v>216.23098642863647</v>
      </c>
      <c r="J11" s="112">
        <f t="shared" si="0"/>
        <v>207.56436760007517</v>
      </c>
      <c r="K11" s="112">
        <f t="shared" si="0"/>
        <v>235.5091621843377</v>
      </c>
      <c r="L11" s="112">
        <f t="shared" si="0"/>
        <v>226.66354264292409</v>
      </c>
      <c r="M11" s="112">
        <f t="shared" ref="M11:V11" si="1">(M9/M10)</f>
        <v>248.29349948851484</v>
      </c>
      <c r="N11" s="112">
        <f t="shared" si="1"/>
        <v>228.49472319940753</v>
      </c>
      <c r="O11" s="112">
        <f t="shared" si="1"/>
        <v>249.45014323999632</v>
      </c>
      <c r="P11" s="112">
        <f t="shared" si="1"/>
        <v>249.05460158209533</v>
      </c>
      <c r="Q11" s="112">
        <f t="shared" si="1"/>
        <v>278.04927099044744</v>
      </c>
      <c r="R11" s="112">
        <f t="shared" si="1"/>
        <v>257.46261265722489</v>
      </c>
      <c r="S11" s="112">
        <f t="shared" si="1"/>
        <v>282.53114100647736</v>
      </c>
      <c r="T11" s="112">
        <f t="shared" si="1"/>
        <v>253.313455804559</v>
      </c>
      <c r="U11" s="112">
        <f t="shared" si="1"/>
        <v>285.87805620371313</v>
      </c>
      <c r="V11" s="112">
        <f t="shared" si="1"/>
        <v>248.69469908330012</v>
      </c>
      <c r="W11" s="112">
        <f t="shared" ref="W11:AB11" si="2">(W9/W10)</f>
        <v>309.48051948051949</v>
      </c>
      <c r="X11" s="112">
        <f t="shared" si="2"/>
        <v>251.27908099237376</v>
      </c>
      <c r="Y11" s="112">
        <f t="shared" si="2"/>
        <v>301.19649805447472</v>
      </c>
      <c r="Z11" s="112">
        <f t="shared" si="2"/>
        <v>271.07618858165904</v>
      </c>
      <c r="AA11" s="112">
        <f t="shared" si="2"/>
        <v>310.0787401574803</v>
      </c>
      <c r="AB11" s="112">
        <f t="shared" si="2"/>
        <v>270.73170731707319</v>
      </c>
      <c r="AC11" s="112">
        <f>(AC9/AC10)</f>
        <v>318.11601804258891</v>
      </c>
      <c r="AD11" s="112">
        <f>(AD9/AD10)</f>
        <v>284.70576003327091</v>
      </c>
      <c r="AE11" s="112">
        <f>(AE9/AE10)</f>
        <v>325.19701810436635</v>
      </c>
      <c r="AF11" s="112">
        <f>(AF9/AF10)</f>
        <v>295.79969452323809</v>
      </c>
      <c r="AG11" s="112">
        <f t="shared" ref="AG11:AL11" si="3">(AG9/AG10)</f>
        <v>305.6860321384425</v>
      </c>
      <c r="AH11" s="112">
        <f t="shared" si="3"/>
        <v>247.34403953057443</v>
      </c>
      <c r="AI11" s="114">
        <f t="shared" si="3"/>
        <v>251.64356090330458</v>
      </c>
      <c r="AJ11" s="114">
        <f t="shared" si="3"/>
        <v>245.26734104046244</v>
      </c>
      <c r="AK11" s="114">
        <f t="shared" si="3"/>
        <v>255.76293675364883</v>
      </c>
      <c r="AL11" s="114">
        <f t="shared" si="3"/>
        <v>215.1261997867046</v>
      </c>
      <c r="AM11" s="114">
        <f>(AM9/AM10)</f>
        <v>240.2734778121775</v>
      </c>
      <c r="AN11" s="114">
        <f>(AN9/AN10)</f>
        <v>222.3785746709033</v>
      </c>
      <c r="AO11" s="114">
        <f t="shared" ref="AO11:AV11" si="4">(AO9/AO10)</f>
        <v>249.44086197045138</v>
      </c>
      <c r="AP11" s="114">
        <f t="shared" si="4"/>
        <v>218.59873656575601</v>
      </c>
      <c r="AQ11" s="114">
        <f t="shared" si="4"/>
        <v>246.71390749104503</v>
      </c>
      <c r="AR11" s="114">
        <f t="shared" si="4"/>
        <v>227.72384034519956</v>
      </c>
      <c r="AS11" s="114">
        <f t="shared" si="4"/>
        <v>296.02612955906369</v>
      </c>
      <c r="AT11" s="114">
        <f t="shared" si="4"/>
        <v>256.77768526228147</v>
      </c>
      <c r="AU11" s="114">
        <f t="shared" si="4"/>
        <v>351.51978417266184</v>
      </c>
      <c r="AV11" s="115">
        <f t="shared" si="4"/>
        <v>309.04527464040927</v>
      </c>
      <c r="AW11" s="116">
        <f>(AW9/AW10)</f>
        <v>352.92534099066762</v>
      </c>
      <c r="AX11" s="115">
        <f>(AX9/AX10)</f>
        <v>339.31640436419815</v>
      </c>
      <c r="AY11" s="116">
        <f>(AY9/AY10)</f>
        <v>390.92862899614937</v>
      </c>
      <c r="AZ11" s="114">
        <f>(AZ9/AZ10)</f>
        <v>360.20336605890606</v>
      </c>
      <c r="BA11" s="116">
        <f>((BA9-3114)/BA10)</f>
        <v>405.13955378917893</v>
      </c>
      <c r="BB11" s="114">
        <f>((BB9-2392)/BB10)</f>
        <v>350.81486907159859</v>
      </c>
      <c r="BC11" s="116">
        <f t="shared" ref="BC11:BH11" si="5">(BC9/BC10)</f>
        <v>330.74935755953908</v>
      </c>
      <c r="BD11" s="114">
        <f t="shared" si="5"/>
        <v>288.85572080346037</v>
      </c>
      <c r="BE11" s="116">
        <f t="shared" si="5"/>
        <v>319.21214055572767</v>
      </c>
      <c r="BF11" s="115">
        <f t="shared" si="5"/>
        <v>283.86905839746493</v>
      </c>
      <c r="BG11" s="116">
        <f t="shared" si="5"/>
        <v>311.87436955524981</v>
      </c>
      <c r="BH11" s="115">
        <f t="shared" si="5"/>
        <v>278.05379729046047</v>
      </c>
      <c r="BI11" s="116">
        <f>(BI9/BI10)</f>
        <v>296.83922437673135</v>
      </c>
      <c r="BJ11" s="184">
        <f>(BJ9/BJ10)</f>
        <v>262.11666484775731</v>
      </c>
      <c r="BK11" s="185">
        <f>(BK9/BK10)</f>
        <v>292.83602822692671</v>
      </c>
      <c r="BL11" s="160" t="e">
        <f>(BL9/BL10)</f>
        <v>#DIV/0!</v>
      </c>
      <c r="BM11" s="106"/>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row>
    <row r="12" spans="1:328" s="16" customFormat="1">
      <c r="A12" s="15" t="s">
        <v>3</v>
      </c>
      <c r="B12" s="15"/>
      <c r="C12" s="23"/>
      <c r="D12" s="23"/>
      <c r="E12" s="23"/>
      <c r="F12" s="23"/>
      <c r="G12" s="23"/>
      <c r="H12" s="23"/>
      <c r="I12" s="23"/>
      <c r="J12" s="23"/>
      <c r="K12" s="23"/>
      <c r="L12" s="23"/>
      <c r="AI12" s="24"/>
      <c r="AJ12" s="24"/>
      <c r="AK12" s="24"/>
      <c r="AL12" s="24"/>
      <c r="AM12" s="24"/>
      <c r="AN12" s="24"/>
      <c r="AO12" s="24"/>
      <c r="AP12" s="24"/>
      <c r="AQ12" s="24"/>
      <c r="AR12" s="24"/>
      <c r="AS12" s="24"/>
      <c r="AT12" s="24"/>
      <c r="AU12" s="24"/>
      <c r="AV12" s="69"/>
      <c r="AW12" s="70"/>
      <c r="AX12" s="69"/>
      <c r="AY12" s="70"/>
      <c r="AZ12" s="24"/>
      <c r="BA12" s="70"/>
      <c r="BB12" s="24"/>
      <c r="BC12" s="70"/>
      <c r="BD12" s="24"/>
      <c r="BE12" s="70"/>
      <c r="BF12" s="69"/>
      <c r="BG12" s="70"/>
      <c r="BH12" s="69"/>
      <c r="BI12" s="70"/>
      <c r="BJ12" s="188"/>
      <c r="BK12" s="189"/>
      <c r="BL12" s="140"/>
      <c r="BM12" s="24"/>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row>
    <row r="13" spans="1:328" s="105" customFormat="1" ht="9" customHeight="1">
      <c r="A13" s="104"/>
      <c r="B13" s="104" t="s">
        <v>17</v>
      </c>
      <c r="C13" s="105">
        <v>25227</v>
      </c>
      <c r="D13" s="105">
        <v>24747</v>
      </c>
      <c r="E13" s="105">
        <v>23535</v>
      </c>
      <c r="F13" s="105">
        <v>22912</v>
      </c>
      <c r="G13" s="105">
        <v>21232</v>
      </c>
      <c r="H13" s="105">
        <v>20846</v>
      </c>
      <c r="I13" s="105">
        <v>20752</v>
      </c>
      <c r="J13" s="105">
        <v>20074</v>
      </c>
      <c r="K13" s="105">
        <v>19868</v>
      </c>
      <c r="L13" s="105">
        <v>19315</v>
      </c>
      <c r="M13" s="105">
        <v>19382</v>
      </c>
      <c r="N13" s="105">
        <v>19528</v>
      </c>
      <c r="O13" s="105">
        <v>19120</v>
      </c>
      <c r="P13" s="105">
        <v>19052</v>
      </c>
      <c r="Q13" s="105">
        <v>19136</v>
      </c>
      <c r="R13" s="105">
        <f>19808+33</f>
        <v>19841</v>
      </c>
      <c r="S13" s="105">
        <v>20944</v>
      </c>
      <c r="T13" s="105">
        <f>21456+93</f>
        <v>21549</v>
      </c>
      <c r="U13" s="105">
        <f>22221+114</f>
        <v>22335</v>
      </c>
      <c r="V13" s="105">
        <v>23548</v>
      </c>
      <c r="W13" s="105">
        <f>23954+24</f>
        <v>23978</v>
      </c>
      <c r="X13" s="105">
        <f>24360+123</f>
        <v>24483</v>
      </c>
      <c r="Y13" s="105">
        <f>24967+258</f>
        <v>25225</v>
      </c>
      <c r="Z13" s="105">
        <f>26078+267</f>
        <v>26345</v>
      </c>
      <c r="AA13" s="105">
        <v>26938</v>
      </c>
      <c r="AB13" s="105">
        <v>26742</v>
      </c>
      <c r="AC13" s="105">
        <v>28499</v>
      </c>
      <c r="AD13" s="105">
        <v>28486</v>
      </c>
      <c r="AE13" s="105">
        <v>29365</v>
      </c>
      <c r="AF13" s="105">
        <v>28458</v>
      </c>
      <c r="AG13" s="105">
        <v>30486</v>
      </c>
      <c r="AH13" s="105">
        <v>29044</v>
      </c>
      <c r="AI13" s="106">
        <v>30464</v>
      </c>
      <c r="AJ13" s="106">
        <v>28611</v>
      </c>
      <c r="AK13" s="106">
        <v>29385</v>
      </c>
      <c r="AL13" s="106">
        <v>28788</v>
      </c>
      <c r="AM13" s="106">
        <v>28040</v>
      </c>
      <c r="AN13" s="106">
        <v>27145</v>
      </c>
      <c r="AO13" s="106">
        <v>28097</v>
      </c>
      <c r="AP13" s="106">
        <v>27480</v>
      </c>
      <c r="AQ13" s="106">
        <v>27818</v>
      </c>
      <c r="AR13" s="106">
        <v>28597</v>
      </c>
      <c r="AS13" s="106">
        <v>29923</v>
      </c>
      <c r="AT13" s="106">
        <v>28928</v>
      </c>
      <c r="AU13" s="106">
        <v>27919</v>
      </c>
      <c r="AV13" s="107">
        <v>27840</v>
      </c>
      <c r="AW13" s="108">
        <v>29626</v>
      </c>
      <c r="AX13" s="107">
        <v>29236</v>
      </c>
      <c r="AY13" s="108">
        <v>30300</v>
      </c>
      <c r="AZ13" s="106">
        <v>31095</v>
      </c>
      <c r="BA13" s="108">
        <v>30538</v>
      </c>
      <c r="BB13" s="106">
        <v>32774</v>
      </c>
      <c r="BC13" s="108">
        <v>30590</v>
      </c>
      <c r="BD13" s="106">
        <v>33186</v>
      </c>
      <c r="BE13" s="108">
        <v>33724.29</v>
      </c>
      <c r="BF13" s="107">
        <v>36800.239999999998</v>
      </c>
      <c r="BG13" s="108">
        <v>36024.36</v>
      </c>
      <c r="BH13" s="107">
        <v>39172.19</v>
      </c>
      <c r="BI13" s="108">
        <v>37497.370000000003</v>
      </c>
      <c r="BJ13" s="190">
        <v>39584.6</v>
      </c>
      <c r="BK13" s="191">
        <v>38175.699999999997</v>
      </c>
      <c r="BL13" s="141"/>
      <c r="BM13" s="106"/>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row>
    <row r="14" spans="1:328" s="95" customFormat="1" ht="9" customHeight="1">
      <c r="A14" s="109"/>
      <c r="B14" s="109" t="s">
        <v>20</v>
      </c>
      <c r="C14" s="95">
        <v>67.64</v>
      </c>
      <c r="D14" s="95">
        <v>68.55</v>
      </c>
      <c r="E14" s="95">
        <v>70.42</v>
      </c>
      <c r="F14" s="95">
        <v>69.58</v>
      </c>
      <c r="G14" s="95">
        <v>66.290000000000006</v>
      </c>
      <c r="H14" s="95">
        <v>64.180000000000007</v>
      </c>
      <c r="I14" s="95">
        <v>59.82</v>
      </c>
      <c r="J14" s="95">
        <v>58.63</v>
      </c>
      <c r="K14" s="95">
        <v>54.27</v>
      </c>
      <c r="L14" s="95">
        <v>55.88</v>
      </c>
      <c r="M14" s="95">
        <v>55.08</v>
      </c>
      <c r="N14" s="95">
        <v>56.79</v>
      </c>
      <c r="O14" s="95">
        <v>52.85</v>
      </c>
      <c r="P14" s="95">
        <v>55.17</v>
      </c>
      <c r="Q14" s="95">
        <v>58.17</v>
      </c>
      <c r="R14" s="95">
        <v>58.72</v>
      </c>
      <c r="S14" s="95">
        <v>55.17</v>
      </c>
      <c r="T14" s="95">
        <v>63.4</v>
      </c>
      <c r="U14" s="95">
        <v>62.74</v>
      </c>
      <c r="V14" s="95">
        <v>65.510000000000005</v>
      </c>
      <c r="W14" s="95">
        <v>65.180000000000007</v>
      </c>
      <c r="X14" s="95">
        <v>63.93</v>
      </c>
      <c r="Y14" s="95">
        <v>68.55</v>
      </c>
      <c r="Z14" s="95">
        <v>68.5</v>
      </c>
      <c r="AA14" s="95">
        <v>67.47</v>
      </c>
      <c r="AB14" s="95">
        <v>65.8</v>
      </c>
      <c r="AC14" s="95">
        <v>69.349999999999994</v>
      </c>
      <c r="AD14" s="95">
        <v>72.19</v>
      </c>
      <c r="AE14" s="95">
        <v>68.94</v>
      </c>
      <c r="AF14" s="95">
        <v>68.45</v>
      </c>
      <c r="AG14" s="95">
        <v>70.23</v>
      </c>
      <c r="AH14" s="95">
        <v>64.73</v>
      </c>
      <c r="AI14" s="96">
        <v>68.099999999999994</v>
      </c>
      <c r="AJ14" s="96">
        <v>67.62</v>
      </c>
      <c r="AK14" s="96">
        <v>68.66</v>
      </c>
      <c r="AL14" s="96">
        <v>69.38</v>
      </c>
      <c r="AM14" s="96">
        <v>69.34</v>
      </c>
      <c r="AN14" s="96">
        <v>67.760000000000005</v>
      </c>
      <c r="AO14" s="96">
        <v>67.97</v>
      </c>
      <c r="AP14" s="96">
        <v>65.849999999999994</v>
      </c>
      <c r="AQ14" s="96">
        <v>70.180000000000007</v>
      </c>
      <c r="AR14" s="96">
        <v>70.95</v>
      </c>
      <c r="AS14" s="96">
        <v>78.569999999999993</v>
      </c>
      <c r="AT14" s="96">
        <v>72.459999999999994</v>
      </c>
      <c r="AU14" s="96">
        <v>81.62</v>
      </c>
      <c r="AV14" s="110">
        <v>81.7</v>
      </c>
      <c r="AW14" s="111">
        <v>82.75</v>
      </c>
      <c r="AX14" s="110">
        <v>83.02</v>
      </c>
      <c r="AY14" s="111">
        <v>84.17</v>
      </c>
      <c r="AZ14" s="96">
        <v>85.33</v>
      </c>
      <c r="BA14" s="111">
        <v>78.64</v>
      </c>
      <c r="BB14" s="96">
        <v>77.66</v>
      </c>
      <c r="BC14" s="111">
        <v>96.84899999999999</v>
      </c>
      <c r="BD14" s="96">
        <v>102.26599999999999</v>
      </c>
      <c r="BE14" s="111">
        <v>107.8151</v>
      </c>
      <c r="BF14" s="110">
        <v>108.76</v>
      </c>
      <c r="BG14" s="111">
        <v>112.99</v>
      </c>
      <c r="BH14" s="110">
        <v>114.67999999999999</v>
      </c>
      <c r="BI14" s="111">
        <v>124.27000000000001</v>
      </c>
      <c r="BJ14" s="192">
        <v>126.65</v>
      </c>
      <c r="BK14" s="193">
        <v>129.53</v>
      </c>
      <c r="BL14" s="142"/>
      <c r="BM14" s="96"/>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row>
    <row r="15" spans="1:328" s="105" customFormat="1" ht="9" customHeight="1">
      <c r="A15" s="104"/>
      <c r="B15" s="104" t="s">
        <v>18</v>
      </c>
      <c r="C15" s="105">
        <f t="shared" ref="C15:L15" si="6">(C13/C14)</f>
        <v>372.95978710821998</v>
      </c>
      <c r="D15" s="105">
        <f t="shared" si="6"/>
        <v>361.00656455142234</v>
      </c>
      <c r="E15" s="105">
        <f t="shared" si="6"/>
        <v>334.20903152513489</v>
      </c>
      <c r="F15" s="105">
        <f t="shared" si="6"/>
        <v>329.29002586950276</v>
      </c>
      <c r="G15" s="105">
        <f t="shared" si="6"/>
        <v>320.28963644591943</v>
      </c>
      <c r="H15" s="105">
        <f t="shared" si="6"/>
        <v>324.8052352757868</v>
      </c>
      <c r="I15" s="105">
        <f t="shared" si="6"/>
        <v>346.90738883316618</v>
      </c>
      <c r="J15" s="105">
        <f t="shared" si="6"/>
        <v>342.38444482346921</v>
      </c>
      <c r="K15" s="105">
        <f t="shared" si="6"/>
        <v>366.09544868251334</v>
      </c>
      <c r="L15" s="105">
        <f t="shared" si="6"/>
        <v>345.65139584824624</v>
      </c>
      <c r="M15" s="105">
        <f t="shared" ref="M15:V15" si="7">(M13/M14)</f>
        <v>351.88816267247643</v>
      </c>
      <c r="N15" s="105">
        <f t="shared" si="7"/>
        <v>343.86335622468744</v>
      </c>
      <c r="O15" s="105">
        <f t="shared" si="7"/>
        <v>361.77861873226112</v>
      </c>
      <c r="P15" s="105">
        <f t="shared" si="7"/>
        <v>345.33260830161316</v>
      </c>
      <c r="Q15" s="105">
        <f t="shared" si="7"/>
        <v>328.96682138559396</v>
      </c>
      <c r="R15" s="105">
        <f t="shared" si="7"/>
        <v>337.89168937329703</v>
      </c>
      <c r="S15" s="105">
        <f t="shared" si="7"/>
        <v>379.62660866412904</v>
      </c>
      <c r="T15" s="105">
        <f t="shared" si="7"/>
        <v>339.88958990536281</v>
      </c>
      <c r="U15" s="105">
        <f t="shared" si="7"/>
        <v>355.99298693018807</v>
      </c>
      <c r="V15" s="105">
        <f t="shared" si="7"/>
        <v>359.45657151579911</v>
      </c>
      <c r="W15" s="105">
        <f t="shared" ref="W15:AB15" si="8">(W13/W14)</f>
        <v>367.87358085302236</v>
      </c>
      <c r="X15" s="105">
        <f t="shared" si="8"/>
        <v>382.96574378226182</v>
      </c>
      <c r="Y15" s="105">
        <f t="shared" si="8"/>
        <v>367.97957695113058</v>
      </c>
      <c r="Z15" s="105">
        <f t="shared" si="8"/>
        <v>384.5985401459854</v>
      </c>
      <c r="AA15" s="105">
        <f t="shared" si="8"/>
        <v>399.25892989476807</v>
      </c>
      <c r="AB15" s="105">
        <f t="shared" si="8"/>
        <v>406.41337386018239</v>
      </c>
      <c r="AC15" s="105">
        <f>(AC13/AC14)</f>
        <v>410.94448449891854</v>
      </c>
      <c r="AD15" s="105">
        <f>(AD13/AD14)</f>
        <v>394.59758969386343</v>
      </c>
      <c r="AE15" s="105">
        <f>(AE13/AE14)</f>
        <v>425.95010153756891</v>
      </c>
      <c r="AF15" s="105">
        <f>(AF13/AF14)</f>
        <v>415.74872169466761</v>
      </c>
      <c r="AG15" s="105">
        <f t="shared" ref="AG15:AL15" si="9">(AG13/AG14)</f>
        <v>434.08799658265696</v>
      </c>
      <c r="AH15" s="105">
        <f t="shared" si="9"/>
        <v>448.69457747566815</v>
      </c>
      <c r="AI15" s="106">
        <f t="shared" si="9"/>
        <v>447.34214390602057</v>
      </c>
      <c r="AJ15" s="106">
        <f t="shared" si="9"/>
        <v>423.11446317657493</v>
      </c>
      <c r="AK15" s="106">
        <f t="shared" si="9"/>
        <v>427.97844450917569</v>
      </c>
      <c r="AL15" s="106">
        <f t="shared" si="9"/>
        <v>414.93225713462095</v>
      </c>
      <c r="AM15" s="106">
        <f>(AM13/AM14)</f>
        <v>404.38419382751658</v>
      </c>
      <c r="AN15" s="106">
        <f>(AN13/AN14)</f>
        <v>400.60507674144037</v>
      </c>
      <c r="AO15" s="106">
        <f t="shared" ref="AO15:AV15" si="10">(AO13/AO14)</f>
        <v>413.37354715315581</v>
      </c>
      <c r="AP15" s="106">
        <f t="shared" si="10"/>
        <v>417.31207289293855</v>
      </c>
      <c r="AQ15" s="106">
        <f t="shared" si="10"/>
        <v>396.38073525220858</v>
      </c>
      <c r="AR15" s="106">
        <f t="shared" si="10"/>
        <v>403.0584918957012</v>
      </c>
      <c r="AS15" s="106">
        <f t="shared" si="10"/>
        <v>380.8451062746596</v>
      </c>
      <c r="AT15" s="106">
        <f t="shared" si="10"/>
        <v>399.22715981231028</v>
      </c>
      <c r="AU15" s="106">
        <f t="shared" si="10"/>
        <v>342.06076941925994</v>
      </c>
      <c r="AV15" s="107">
        <f t="shared" si="10"/>
        <v>340.75887392900853</v>
      </c>
      <c r="AW15" s="108">
        <f t="shared" ref="AW15:BH15" si="11">(AW13/AW14)</f>
        <v>358.01812688821752</v>
      </c>
      <c r="AX15" s="107">
        <f t="shared" si="11"/>
        <v>352.15610696217783</v>
      </c>
      <c r="AY15" s="108">
        <f t="shared" ref="AY15:BD15" si="12">(AY13/AY14)</f>
        <v>359.9857431388856</v>
      </c>
      <c r="AZ15" s="106">
        <f t="shared" si="12"/>
        <v>364.40876596742061</v>
      </c>
      <c r="BA15" s="108">
        <f t="shared" si="12"/>
        <v>388.32655137334689</v>
      </c>
      <c r="BB15" s="106">
        <f t="shared" si="12"/>
        <v>422.01905742982234</v>
      </c>
      <c r="BC15" s="108">
        <f t="shared" si="12"/>
        <v>315.85251267436939</v>
      </c>
      <c r="BD15" s="106">
        <f t="shared" si="12"/>
        <v>324.50667866152975</v>
      </c>
      <c r="BE15" s="108">
        <f t="shared" si="11"/>
        <v>312.79746529011243</v>
      </c>
      <c r="BF15" s="107">
        <f t="shared" si="11"/>
        <v>338.36189775652809</v>
      </c>
      <c r="BG15" s="108">
        <f t="shared" si="11"/>
        <v>318.82786087264361</v>
      </c>
      <c r="BH15" s="107">
        <f t="shared" si="11"/>
        <v>341.57821764911063</v>
      </c>
      <c r="BI15" s="108">
        <f>(BI13/BI14)</f>
        <v>301.74112818862153</v>
      </c>
      <c r="BJ15" s="190">
        <f>(BJ13/BJ14)</f>
        <v>312.55112514804574</v>
      </c>
      <c r="BK15" s="191">
        <f>(BK13/BK14)</f>
        <v>294.72477418358682</v>
      </c>
      <c r="BL15" s="141" t="e">
        <f>(BL13/BL14)</f>
        <v>#DIV/0!</v>
      </c>
      <c r="BM15" s="106"/>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row>
    <row r="16" spans="1:328" s="16" customFormat="1">
      <c r="A16" s="47" t="s">
        <v>4</v>
      </c>
      <c r="B16" s="47"/>
      <c r="C16" s="48"/>
      <c r="D16" s="48" t="s">
        <v>5</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55"/>
      <c r="AJ16" s="55"/>
      <c r="AK16" s="55"/>
      <c r="AL16" s="55"/>
      <c r="AM16" s="55"/>
      <c r="AN16" s="55"/>
      <c r="AO16" s="55"/>
      <c r="AP16" s="55"/>
      <c r="AQ16" s="55"/>
      <c r="AR16" s="55"/>
      <c r="AS16" s="55"/>
      <c r="AT16" s="55"/>
      <c r="AU16" s="55"/>
      <c r="AV16" s="63"/>
      <c r="AW16" s="64"/>
      <c r="AX16" s="63"/>
      <c r="AY16" s="64"/>
      <c r="AZ16" s="55"/>
      <c r="BA16" s="64"/>
      <c r="BB16" s="55"/>
      <c r="BC16" s="64"/>
      <c r="BD16" s="55"/>
      <c r="BE16" s="64"/>
      <c r="BF16" s="63"/>
      <c r="BG16" s="64"/>
      <c r="BH16" s="63"/>
      <c r="BI16" s="64"/>
      <c r="BJ16" s="182"/>
      <c r="BK16" s="183"/>
      <c r="BL16" s="137"/>
      <c r="BM16" s="24"/>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row>
    <row r="17" spans="1:328" s="105" customFormat="1" ht="9" customHeight="1">
      <c r="A17" s="113"/>
      <c r="B17" s="113" t="s">
        <v>17</v>
      </c>
      <c r="C17" s="112">
        <v>16769</v>
      </c>
      <c r="D17" s="112">
        <v>17045</v>
      </c>
      <c r="E17" s="112">
        <v>18638</v>
      </c>
      <c r="F17" s="112">
        <v>18557</v>
      </c>
      <c r="G17" s="112">
        <v>19150</v>
      </c>
      <c r="H17" s="112">
        <v>18815</v>
      </c>
      <c r="I17" s="112">
        <v>18246</v>
      </c>
      <c r="J17" s="112">
        <v>16872</v>
      </c>
      <c r="K17" s="112">
        <v>17901</v>
      </c>
      <c r="L17" s="112">
        <v>16782</v>
      </c>
      <c r="M17" s="112">
        <v>17744</v>
      </c>
      <c r="N17" s="112">
        <v>16933</v>
      </c>
      <c r="O17" s="112">
        <v>17091</v>
      </c>
      <c r="P17" s="112">
        <v>15029</v>
      </c>
      <c r="Q17" s="112">
        <v>16425</v>
      </c>
      <c r="R17" s="112">
        <f>15408+21</f>
        <v>15429</v>
      </c>
      <c r="S17" s="112">
        <v>16104</v>
      </c>
      <c r="T17" s="112">
        <f>15701+18</f>
        <v>15719</v>
      </c>
      <c r="U17" s="112">
        <v>18544</v>
      </c>
      <c r="V17" s="112">
        <v>16099</v>
      </c>
      <c r="W17" s="112">
        <v>17914</v>
      </c>
      <c r="X17" s="112">
        <v>16127</v>
      </c>
      <c r="Y17" s="112">
        <v>17640</v>
      </c>
      <c r="Z17" s="112">
        <f>15994+96</f>
        <v>16090</v>
      </c>
      <c r="AA17" s="112">
        <v>19692</v>
      </c>
      <c r="AB17" s="112">
        <v>17111</v>
      </c>
      <c r="AC17" s="112">
        <v>18087</v>
      </c>
      <c r="AD17" s="112">
        <v>17846</v>
      </c>
      <c r="AE17" s="112">
        <v>18826</v>
      </c>
      <c r="AF17" s="112">
        <v>17743</v>
      </c>
      <c r="AG17" s="112">
        <v>20254</v>
      </c>
      <c r="AH17" s="112">
        <v>18527</v>
      </c>
      <c r="AI17" s="114">
        <v>19370</v>
      </c>
      <c r="AJ17" s="114">
        <v>17446</v>
      </c>
      <c r="AK17" s="114">
        <v>19071</v>
      </c>
      <c r="AL17" s="114">
        <v>16452</v>
      </c>
      <c r="AM17" s="114">
        <v>18967</v>
      </c>
      <c r="AN17" s="114">
        <v>16617</v>
      </c>
      <c r="AO17" s="114">
        <v>19965</v>
      </c>
      <c r="AP17" s="114">
        <v>17324</v>
      </c>
      <c r="AQ17" s="114">
        <v>19063</v>
      </c>
      <c r="AR17" s="114">
        <v>17660</v>
      </c>
      <c r="AS17" s="114">
        <v>20540</v>
      </c>
      <c r="AT17" s="114">
        <v>19081</v>
      </c>
      <c r="AU17" s="114">
        <v>21238</v>
      </c>
      <c r="AV17" s="115">
        <v>19960</v>
      </c>
      <c r="AW17" s="116">
        <v>21789</v>
      </c>
      <c r="AX17" s="115">
        <v>20764</v>
      </c>
      <c r="AY17" s="116">
        <v>21551</v>
      </c>
      <c r="AZ17" s="114">
        <v>20780</v>
      </c>
      <c r="BA17" s="116">
        <v>22344</v>
      </c>
      <c r="BB17" s="114">
        <v>21241</v>
      </c>
      <c r="BC17" s="116">
        <v>22439.5</v>
      </c>
      <c r="BD17" s="114">
        <v>20780.71</v>
      </c>
      <c r="BE17" s="116">
        <v>22944</v>
      </c>
      <c r="BF17" s="132">
        <v>21889</v>
      </c>
      <c r="BG17" s="116">
        <v>21890.959999999999</v>
      </c>
      <c r="BH17" s="115">
        <v>21257.63</v>
      </c>
      <c r="BI17" s="116">
        <v>23274.46</v>
      </c>
      <c r="BJ17" s="184">
        <v>20907.29</v>
      </c>
      <c r="BK17" s="185">
        <v>22013.06</v>
      </c>
      <c r="BL17" s="138"/>
      <c r="BM17" s="106"/>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row>
    <row r="18" spans="1:328" s="95" customFormat="1" ht="9" customHeight="1">
      <c r="A18" s="118"/>
      <c r="B18" s="118" t="s">
        <v>20</v>
      </c>
      <c r="C18" s="117">
        <v>101.33</v>
      </c>
      <c r="D18" s="117">
        <v>101.91</v>
      </c>
      <c r="E18" s="117">
        <v>99.29</v>
      </c>
      <c r="F18" s="117">
        <v>103.78</v>
      </c>
      <c r="G18" s="117">
        <v>102.8</v>
      </c>
      <c r="H18" s="117">
        <v>110.1</v>
      </c>
      <c r="I18" s="117">
        <v>106.56</v>
      </c>
      <c r="J18" s="117">
        <v>104.84</v>
      </c>
      <c r="K18" s="117">
        <v>105.46</v>
      </c>
      <c r="L18" s="117">
        <v>96.65</v>
      </c>
      <c r="M18" s="117">
        <v>105.98</v>
      </c>
      <c r="N18" s="117">
        <v>99.93</v>
      </c>
      <c r="O18" s="117">
        <v>103.55</v>
      </c>
      <c r="P18" s="117">
        <v>104.96</v>
      </c>
      <c r="Q18" s="117">
        <v>108.78</v>
      </c>
      <c r="R18" s="117">
        <v>107.11</v>
      </c>
      <c r="S18" s="117">
        <v>111.39</v>
      </c>
      <c r="T18" s="117">
        <v>113.18</v>
      </c>
      <c r="U18" s="117">
        <v>112.38</v>
      </c>
      <c r="V18" s="117">
        <v>111.19</v>
      </c>
      <c r="W18" s="117">
        <v>116.3</v>
      </c>
      <c r="X18" s="117">
        <v>108.72</v>
      </c>
      <c r="Y18" s="117">
        <v>118.75</v>
      </c>
      <c r="Z18" s="117">
        <v>115.31</v>
      </c>
      <c r="AA18" s="117">
        <v>114.22</v>
      </c>
      <c r="AB18" s="117">
        <v>113.72</v>
      </c>
      <c r="AC18" s="117">
        <v>108.62</v>
      </c>
      <c r="AD18" s="117">
        <v>110.85</v>
      </c>
      <c r="AE18" s="117">
        <v>109.43</v>
      </c>
      <c r="AF18" s="117">
        <v>112.2</v>
      </c>
      <c r="AG18" s="117">
        <v>112.07</v>
      </c>
      <c r="AH18" s="117">
        <v>115.56</v>
      </c>
      <c r="AI18" s="119">
        <v>108.78</v>
      </c>
      <c r="AJ18" s="119">
        <v>109.03</v>
      </c>
      <c r="AK18" s="119">
        <v>111.37</v>
      </c>
      <c r="AL18" s="119">
        <v>104.83</v>
      </c>
      <c r="AM18" s="119">
        <v>111.96</v>
      </c>
      <c r="AN18" s="119">
        <v>108.48</v>
      </c>
      <c r="AO18" s="119">
        <v>107.59</v>
      </c>
      <c r="AP18" s="119">
        <v>107.44</v>
      </c>
      <c r="AQ18" s="119">
        <v>108.06</v>
      </c>
      <c r="AR18" s="119">
        <v>107.74</v>
      </c>
      <c r="AS18" s="119">
        <v>86.68</v>
      </c>
      <c r="AT18" s="119">
        <v>87.73</v>
      </c>
      <c r="AU18" s="119">
        <v>109.89</v>
      </c>
      <c r="AV18" s="120">
        <v>105.62</v>
      </c>
      <c r="AW18" s="121">
        <v>119.38</v>
      </c>
      <c r="AX18" s="120">
        <v>121.64</v>
      </c>
      <c r="AY18" s="121">
        <v>132.47999999999999</v>
      </c>
      <c r="AZ18" s="119">
        <v>131.05000000000001</v>
      </c>
      <c r="BA18" s="121">
        <v>136.13999999999999</v>
      </c>
      <c r="BB18" s="119">
        <v>131.07</v>
      </c>
      <c r="BC18" s="121">
        <v>141.87699999999998</v>
      </c>
      <c r="BD18" s="119">
        <v>142.34399999999999</v>
      </c>
      <c r="BE18" s="121">
        <v>138.25</v>
      </c>
      <c r="BF18" s="63">
        <v>138.03</v>
      </c>
      <c r="BG18" s="121">
        <v>140.84</v>
      </c>
      <c r="BH18" s="120">
        <v>141.41000000000003</v>
      </c>
      <c r="BI18" s="121">
        <v>136.94999999999999</v>
      </c>
      <c r="BJ18" s="186">
        <v>135.69999999999999</v>
      </c>
      <c r="BK18" s="187">
        <v>142.91999999999999</v>
      </c>
      <c r="BL18" s="139"/>
      <c r="BM18" s="96"/>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row>
    <row r="19" spans="1:328" s="105" customFormat="1" ht="9" customHeight="1">
      <c r="A19" s="113"/>
      <c r="B19" s="113" t="s">
        <v>18</v>
      </c>
      <c r="C19" s="112">
        <f t="shared" ref="C19:L19" si="13">(C17/C18)</f>
        <v>165.48899634856409</v>
      </c>
      <c r="D19" s="112">
        <f t="shared" si="13"/>
        <v>167.25542145029928</v>
      </c>
      <c r="E19" s="112">
        <f t="shared" si="13"/>
        <v>187.71276060026184</v>
      </c>
      <c r="F19" s="112">
        <f t="shared" si="13"/>
        <v>178.81094623241472</v>
      </c>
      <c r="G19" s="112">
        <f t="shared" si="13"/>
        <v>186.28404669260701</v>
      </c>
      <c r="H19" s="112">
        <f t="shared" si="13"/>
        <v>170.8900999091735</v>
      </c>
      <c r="I19" s="112">
        <f t="shared" si="13"/>
        <v>171.22747747747746</v>
      </c>
      <c r="J19" s="112">
        <f t="shared" si="13"/>
        <v>160.93094238840138</v>
      </c>
      <c r="K19" s="112">
        <f t="shared" si="13"/>
        <v>169.74208230608764</v>
      </c>
      <c r="L19" s="112">
        <f t="shared" si="13"/>
        <v>173.63683393688567</v>
      </c>
      <c r="M19" s="112">
        <f t="shared" ref="M19:V19" si="14">(M17/M18)</f>
        <v>167.42781656916398</v>
      </c>
      <c r="N19" s="112">
        <f t="shared" si="14"/>
        <v>169.44861402982087</v>
      </c>
      <c r="O19" s="112">
        <f t="shared" si="14"/>
        <v>165.05070014485756</v>
      </c>
      <c r="P19" s="112">
        <f t="shared" si="14"/>
        <v>143.18788109756099</v>
      </c>
      <c r="Q19" s="112">
        <f t="shared" si="14"/>
        <v>150.99282956425813</v>
      </c>
      <c r="R19" s="112">
        <f t="shared" si="14"/>
        <v>144.04817477359722</v>
      </c>
      <c r="S19" s="112">
        <f t="shared" si="14"/>
        <v>144.57312146512254</v>
      </c>
      <c r="T19" s="112">
        <f t="shared" si="14"/>
        <v>138.88496200742179</v>
      </c>
      <c r="U19" s="112">
        <f t="shared" si="14"/>
        <v>165.01156789464318</v>
      </c>
      <c r="V19" s="112">
        <f t="shared" si="14"/>
        <v>144.78820037773181</v>
      </c>
      <c r="W19" s="112">
        <f t="shared" ref="W19:AB19" si="15">(W17/W18)</f>
        <v>154.03267411865863</v>
      </c>
      <c r="X19" s="112">
        <f t="shared" si="15"/>
        <v>148.33517292126564</v>
      </c>
      <c r="Y19" s="112">
        <f t="shared" si="15"/>
        <v>148.54736842105262</v>
      </c>
      <c r="Z19" s="112">
        <f t="shared" si="15"/>
        <v>139.53690052900876</v>
      </c>
      <c r="AA19" s="112">
        <f t="shared" si="15"/>
        <v>172.40413237611628</v>
      </c>
      <c r="AB19" s="112">
        <f t="shared" si="15"/>
        <v>150.46605698206122</v>
      </c>
      <c r="AC19" s="112">
        <f>(AC17/AC18)</f>
        <v>166.51629534155771</v>
      </c>
      <c r="AD19" s="112">
        <f>(AD17/AD18)</f>
        <v>160.99233198015338</v>
      </c>
      <c r="AE19" s="112">
        <f>(AE17/AE18)</f>
        <v>172.03691857808644</v>
      </c>
      <c r="AF19" s="112">
        <f>(AF17/AF18)</f>
        <v>158.13725490196077</v>
      </c>
      <c r="AG19" s="112">
        <f t="shared" ref="AG19:AL19" si="16">(AG17/AG18)</f>
        <v>180.72633175693764</v>
      </c>
      <c r="AH19" s="112">
        <f t="shared" si="16"/>
        <v>160.32364139840774</v>
      </c>
      <c r="AI19" s="114">
        <f t="shared" si="16"/>
        <v>178.06582092296378</v>
      </c>
      <c r="AJ19" s="114">
        <f t="shared" si="16"/>
        <v>160.01100614509767</v>
      </c>
      <c r="AK19" s="114">
        <f t="shared" si="16"/>
        <v>171.2400107748945</v>
      </c>
      <c r="AL19" s="114">
        <f t="shared" si="16"/>
        <v>156.93980730706858</v>
      </c>
      <c r="AM19" s="114">
        <f>(AM17/AM18)</f>
        <v>169.40871739907109</v>
      </c>
      <c r="AN19" s="114">
        <f>(AN17/AN18)</f>
        <v>153.18030973451326</v>
      </c>
      <c r="AO19" s="114">
        <f t="shared" ref="AO19:AV19" si="17">(AO17/AO18)</f>
        <v>185.56557300864392</v>
      </c>
      <c r="AP19" s="114">
        <f t="shared" si="17"/>
        <v>161.24348473566641</v>
      </c>
      <c r="AQ19" s="114">
        <f t="shared" si="17"/>
        <v>176.41125300758839</v>
      </c>
      <c r="AR19" s="114">
        <f t="shared" si="17"/>
        <v>163.91312418785967</v>
      </c>
      <c r="AS19" s="114">
        <f t="shared" si="17"/>
        <v>236.96354407014303</v>
      </c>
      <c r="AT19" s="114">
        <f t="shared" si="17"/>
        <v>217.49686538242332</v>
      </c>
      <c r="AU19" s="114">
        <f t="shared" si="17"/>
        <v>193.26599326599327</v>
      </c>
      <c r="AV19" s="115">
        <f t="shared" si="17"/>
        <v>188.9793599697027</v>
      </c>
      <c r="AW19" s="116">
        <f t="shared" ref="AW19:BH19" si="18">(AW17/AW18)</f>
        <v>182.51800971687049</v>
      </c>
      <c r="AX19" s="115">
        <f t="shared" si="18"/>
        <v>170.70042749095691</v>
      </c>
      <c r="AY19" s="116">
        <f t="shared" ref="AY19:BD19" si="19">(AY17/AY18)</f>
        <v>162.67361111111111</v>
      </c>
      <c r="AZ19" s="114">
        <f t="shared" si="19"/>
        <v>158.5654330408241</v>
      </c>
      <c r="BA19" s="116">
        <f t="shared" si="19"/>
        <v>164.12516527104452</v>
      </c>
      <c r="BB19" s="114">
        <f t="shared" si="19"/>
        <v>162.05844205386435</v>
      </c>
      <c r="BC19" s="116">
        <f t="shared" si="19"/>
        <v>158.16164706048198</v>
      </c>
      <c r="BD19" s="114">
        <f t="shared" si="19"/>
        <v>145.98936379475074</v>
      </c>
      <c r="BE19" s="116">
        <f t="shared" si="18"/>
        <v>165.96021699819167</v>
      </c>
      <c r="BF19" s="115">
        <f t="shared" si="18"/>
        <v>158.58146779685575</v>
      </c>
      <c r="BG19" s="116">
        <f t="shared" si="18"/>
        <v>155.4314115308151</v>
      </c>
      <c r="BH19" s="115">
        <f t="shared" si="18"/>
        <v>150.32621455342618</v>
      </c>
      <c r="BI19" s="116">
        <f>(BI17/BI18)</f>
        <v>169.94859437751003</v>
      </c>
      <c r="BJ19" s="184">
        <f>(BJ17/BJ18)</f>
        <v>154.06993367722919</v>
      </c>
      <c r="BK19" s="185">
        <f>(BK17/BK18)</f>
        <v>154.02364959417858</v>
      </c>
      <c r="BL19" s="160" t="e">
        <f>(BL17/BL18)</f>
        <v>#DIV/0!</v>
      </c>
      <c r="BM19" s="106"/>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row>
    <row r="20" spans="1:328" s="16" customFormat="1" ht="10.15" hidden="1" customHeight="1">
      <c r="A20" s="15" t="s">
        <v>6</v>
      </c>
      <c r="B20" s="15"/>
      <c r="AI20" s="24"/>
      <c r="AJ20" s="24"/>
      <c r="AK20" s="24"/>
      <c r="AL20" s="24"/>
      <c r="AM20" s="24"/>
      <c r="AN20" s="24"/>
      <c r="AO20" s="24"/>
      <c r="AP20" s="24"/>
      <c r="AQ20" s="24"/>
      <c r="AR20" s="24"/>
      <c r="AS20" s="24"/>
      <c r="AT20" s="24"/>
      <c r="AU20" s="24"/>
      <c r="AV20" s="69"/>
      <c r="AW20" s="70"/>
      <c r="AX20" s="69"/>
      <c r="AY20" s="70"/>
      <c r="AZ20" s="24"/>
      <c r="BA20" s="70"/>
      <c r="BB20" s="24"/>
      <c r="BC20" s="70"/>
      <c r="BD20" s="24"/>
      <c r="BE20" s="70"/>
      <c r="BF20" s="69"/>
      <c r="BG20" s="70"/>
      <c r="BH20" s="69"/>
      <c r="BI20" s="70"/>
      <c r="BJ20" s="188"/>
      <c r="BK20" s="189"/>
      <c r="BL20" s="140"/>
      <c r="BM20" s="24"/>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row>
    <row r="21" spans="1:328" s="17" customFormat="1" ht="10.15" hidden="1" customHeight="1">
      <c r="A21" s="18"/>
      <c r="B21" s="18" t="s">
        <v>17</v>
      </c>
      <c r="C21" s="17">
        <v>23582</v>
      </c>
      <c r="D21" s="17">
        <v>23623</v>
      </c>
      <c r="E21" s="17">
        <v>22084</v>
      </c>
      <c r="F21" s="17">
        <v>22951</v>
      </c>
      <c r="G21" s="17">
        <v>23983</v>
      </c>
      <c r="H21" s="17">
        <v>22891</v>
      </c>
      <c r="I21" s="17">
        <f>21869+185</f>
        <v>22054</v>
      </c>
      <c r="J21" s="17">
        <f>22149+380</f>
        <v>22529</v>
      </c>
      <c r="K21" s="17">
        <f>21919+247</f>
        <v>22166</v>
      </c>
      <c r="L21" s="17">
        <f>21583+395</f>
        <v>21978</v>
      </c>
      <c r="M21" s="17">
        <f>20507+187</f>
        <v>20694</v>
      </c>
      <c r="N21" s="17">
        <f>20745+126</f>
        <v>20871</v>
      </c>
      <c r="O21" s="17">
        <f>19608+424</f>
        <v>20032</v>
      </c>
      <c r="P21" s="17">
        <f>20198+443</f>
        <v>20641</v>
      </c>
      <c r="Q21" s="17">
        <f>20168+206</f>
        <v>20374</v>
      </c>
      <c r="R21" s="17">
        <f>20926+266</f>
        <v>21192</v>
      </c>
      <c r="S21" s="17">
        <f>20535+239</f>
        <v>20774</v>
      </c>
      <c r="T21" s="17">
        <f>20671+326</f>
        <v>20997</v>
      </c>
      <c r="U21" s="17">
        <f>20103+237</f>
        <v>20340</v>
      </c>
      <c r="V21" s="17">
        <v>21213</v>
      </c>
      <c r="W21" s="17">
        <f>19892+322</f>
        <v>20214</v>
      </c>
      <c r="X21" s="17">
        <f>20645+570</f>
        <v>21215</v>
      </c>
      <c r="Y21" s="17">
        <f>20376+926</f>
        <v>21302</v>
      </c>
      <c r="Z21" s="17">
        <f>21632+850</f>
        <v>22482</v>
      </c>
      <c r="AA21" s="17">
        <f>20706+876</f>
        <v>21582</v>
      </c>
      <c r="AB21" s="17">
        <f>20982+948</f>
        <v>21930</v>
      </c>
      <c r="AC21" s="17">
        <v>21667</v>
      </c>
      <c r="AD21" s="17">
        <v>22703</v>
      </c>
      <c r="AE21" s="17">
        <v>23048</v>
      </c>
      <c r="AF21" s="17">
        <v>22731</v>
      </c>
      <c r="AG21" s="17">
        <v>21307</v>
      </c>
      <c r="AH21" s="17">
        <v>22270</v>
      </c>
      <c r="AI21" s="19">
        <v>17584</v>
      </c>
      <c r="AJ21" s="19">
        <v>18389</v>
      </c>
      <c r="AK21" s="19"/>
      <c r="AL21" s="19"/>
      <c r="AM21" s="19"/>
      <c r="AN21" s="19"/>
      <c r="AO21" s="19"/>
      <c r="AP21" s="19"/>
      <c r="AQ21" s="19"/>
      <c r="AR21" s="19"/>
      <c r="AS21" s="19"/>
      <c r="AT21" s="19"/>
      <c r="AU21" s="19"/>
      <c r="AV21" s="71"/>
      <c r="AW21" s="72"/>
      <c r="AX21" s="71"/>
      <c r="AY21" s="72"/>
      <c r="AZ21" s="19"/>
      <c r="BA21" s="72"/>
      <c r="BB21" s="19"/>
      <c r="BC21" s="72"/>
      <c r="BD21" s="19"/>
      <c r="BE21" s="72"/>
      <c r="BF21" s="71"/>
      <c r="BG21" s="72"/>
      <c r="BH21" s="71"/>
      <c r="BI21" s="72"/>
      <c r="BJ21" s="194"/>
      <c r="BK21" s="195"/>
      <c r="BL21" s="143"/>
      <c r="BM21" s="19"/>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row>
    <row r="22" spans="1:328" s="20" customFormat="1" ht="10.15" hidden="1" customHeight="1">
      <c r="A22" s="21"/>
      <c r="B22" s="21" t="s">
        <v>20</v>
      </c>
      <c r="C22" s="20">
        <v>128.91999999999999</v>
      </c>
      <c r="D22" s="20">
        <v>128.09</v>
      </c>
      <c r="E22" s="20">
        <v>120.88</v>
      </c>
      <c r="F22" s="20">
        <v>120.65</v>
      </c>
      <c r="G22" s="20">
        <v>124.69</v>
      </c>
      <c r="H22" s="20">
        <v>123.08</v>
      </c>
      <c r="I22" s="20">
        <v>109.21</v>
      </c>
      <c r="J22" s="20">
        <v>115.49</v>
      </c>
      <c r="K22" s="20">
        <v>112.71</v>
      </c>
      <c r="L22" s="20">
        <v>109.87</v>
      </c>
      <c r="M22" s="20">
        <v>112.65</v>
      </c>
      <c r="N22" s="20">
        <v>110.98</v>
      </c>
      <c r="O22" s="20">
        <v>111.37</v>
      </c>
      <c r="P22" s="20">
        <v>112.62</v>
      </c>
      <c r="Q22" s="20">
        <v>110.42</v>
      </c>
      <c r="R22" s="20">
        <v>112.68</v>
      </c>
      <c r="S22" s="20">
        <v>113.4</v>
      </c>
      <c r="T22" s="20">
        <v>112.93</v>
      </c>
      <c r="U22" s="20">
        <v>104.19</v>
      </c>
      <c r="V22" s="20">
        <v>112.76</v>
      </c>
      <c r="W22" s="20">
        <v>108.07</v>
      </c>
      <c r="X22" s="20">
        <v>110.19</v>
      </c>
      <c r="Y22" s="20">
        <v>105.85</v>
      </c>
      <c r="Z22" s="20">
        <v>103.58</v>
      </c>
      <c r="AA22" s="20">
        <v>106.76</v>
      </c>
      <c r="AB22" s="20">
        <v>104.13</v>
      </c>
      <c r="AC22" s="20">
        <v>95.99</v>
      </c>
      <c r="AD22" s="20">
        <v>96.57</v>
      </c>
      <c r="AE22" s="20">
        <v>98.05</v>
      </c>
      <c r="AF22" s="20">
        <v>100.11</v>
      </c>
      <c r="AG22" s="20">
        <v>100.85</v>
      </c>
      <c r="AH22" s="20">
        <v>99.67</v>
      </c>
      <c r="AI22" s="22">
        <v>83.5</v>
      </c>
      <c r="AJ22" s="22">
        <v>83.16</v>
      </c>
      <c r="AK22" s="22"/>
      <c r="AL22" s="22"/>
      <c r="AM22" s="22"/>
      <c r="AN22" s="22"/>
      <c r="AO22" s="22"/>
      <c r="AP22" s="22"/>
      <c r="AQ22" s="22"/>
      <c r="AR22" s="22"/>
      <c r="AS22" s="22"/>
      <c r="AT22" s="22"/>
      <c r="AU22" s="22"/>
      <c r="AV22" s="73"/>
      <c r="AW22" s="74"/>
      <c r="AX22" s="73"/>
      <c r="AY22" s="74"/>
      <c r="AZ22" s="22"/>
      <c r="BA22" s="74"/>
      <c r="BB22" s="22"/>
      <c r="BC22" s="74"/>
      <c r="BD22" s="22"/>
      <c r="BE22" s="74"/>
      <c r="BF22" s="73"/>
      <c r="BG22" s="74"/>
      <c r="BH22" s="73"/>
      <c r="BI22" s="74"/>
      <c r="BJ22" s="196"/>
      <c r="BK22" s="197"/>
      <c r="BL22" s="144"/>
      <c r="BM22" s="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row>
    <row r="23" spans="1:328" s="17" customFormat="1" ht="10.15" hidden="1" customHeight="1">
      <c r="A23" s="18"/>
      <c r="B23" s="18" t="s">
        <v>18</v>
      </c>
      <c r="C23" s="17">
        <f t="shared" ref="C23:L23" si="20">(C21/C22)</f>
        <v>182.9196400868756</v>
      </c>
      <c r="D23" s="17">
        <f t="shared" si="20"/>
        <v>184.42501366226873</v>
      </c>
      <c r="E23" s="17">
        <f t="shared" si="20"/>
        <v>182.6935804103243</v>
      </c>
      <c r="F23" s="17">
        <f t="shared" si="20"/>
        <v>190.22793203481143</v>
      </c>
      <c r="G23" s="17">
        <f t="shared" si="20"/>
        <v>192.34100569412143</v>
      </c>
      <c r="H23" s="17">
        <f t="shared" si="20"/>
        <v>185.98472538186545</v>
      </c>
      <c r="I23" s="17">
        <f t="shared" si="20"/>
        <v>201.94121417452615</v>
      </c>
      <c r="J23" s="17">
        <f t="shared" si="20"/>
        <v>195.07316650792276</v>
      </c>
      <c r="K23" s="17">
        <f t="shared" si="20"/>
        <v>196.66400496850324</v>
      </c>
      <c r="L23" s="17">
        <f t="shared" si="20"/>
        <v>200.03640666241921</v>
      </c>
      <c r="M23" s="17">
        <f t="shared" ref="M23:V23" si="21">(M21/M22)</f>
        <v>183.70173102529958</v>
      </c>
      <c r="N23" s="17">
        <f t="shared" si="21"/>
        <v>188.06091187601368</v>
      </c>
      <c r="O23" s="17">
        <f t="shared" si="21"/>
        <v>179.86890545030079</v>
      </c>
      <c r="P23" s="17">
        <f t="shared" si="21"/>
        <v>183.28005682827205</v>
      </c>
      <c r="Q23" s="17">
        <f t="shared" si="21"/>
        <v>184.51367505886614</v>
      </c>
      <c r="R23" s="17">
        <f t="shared" si="21"/>
        <v>188.0724174653887</v>
      </c>
      <c r="S23" s="17">
        <f t="shared" si="21"/>
        <v>183.1922398589065</v>
      </c>
      <c r="T23" s="17">
        <f t="shared" si="21"/>
        <v>185.92933675728327</v>
      </c>
      <c r="U23" s="17">
        <f t="shared" si="21"/>
        <v>195.22027065937232</v>
      </c>
      <c r="V23" s="17">
        <f t="shared" si="21"/>
        <v>188.12522170982618</v>
      </c>
      <c r="W23" s="17">
        <f t="shared" ref="W23:AB23" si="22">(W21/W22)</f>
        <v>187.04543351531416</v>
      </c>
      <c r="X23" s="17">
        <f t="shared" si="22"/>
        <v>192.53108267537888</v>
      </c>
      <c r="Y23" s="17">
        <f t="shared" si="22"/>
        <v>201.24704770902221</v>
      </c>
      <c r="Z23" s="17">
        <f t="shared" si="22"/>
        <v>217.04962347943618</v>
      </c>
      <c r="AA23" s="17">
        <f t="shared" si="22"/>
        <v>202.15436493068563</v>
      </c>
      <c r="AB23" s="17">
        <f t="shared" si="22"/>
        <v>210.60213195044656</v>
      </c>
      <c r="AC23" s="17">
        <f>(AC21/AC22)</f>
        <v>225.72142931555371</v>
      </c>
      <c r="AD23" s="17">
        <f>(AD21/AD22)</f>
        <v>235.09371440405926</v>
      </c>
      <c r="AE23" s="17">
        <f>(AE21/AE22)</f>
        <v>235.06374298827129</v>
      </c>
      <c r="AF23" s="17">
        <f>(AF21/AF22)</f>
        <v>227.06023374288284</v>
      </c>
      <c r="AG23" s="17">
        <f t="shared" ref="AG23:AL23" si="23">(AG21/AG22)</f>
        <v>211.27416955875063</v>
      </c>
      <c r="AH23" s="17">
        <f t="shared" si="23"/>
        <v>223.43734323266779</v>
      </c>
      <c r="AI23" s="19">
        <f t="shared" si="23"/>
        <v>210.58682634730539</v>
      </c>
      <c r="AJ23" s="19">
        <f t="shared" si="23"/>
        <v>221.12794612794613</v>
      </c>
      <c r="AK23" s="25" t="e">
        <f t="shared" si="23"/>
        <v>#DIV/0!</v>
      </c>
      <c r="AL23" s="26" t="e">
        <f t="shared" si="23"/>
        <v>#DIV/0!</v>
      </c>
      <c r="AM23" s="26" t="e">
        <f>(AM21/AM22)</f>
        <v>#DIV/0!</v>
      </c>
      <c r="AN23" s="26" t="e">
        <f>(AN21/AN22)</f>
        <v>#DIV/0!</v>
      </c>
      <c r="AO23" s="26" t="e">
        <f t="shared" ref="AO23:AV23" si="24">(AO21/AO22)</f>
        <v>#DIV/0!</v>
      </c>
      <c r="AP23" s="26" t="e">
        <f t="shared" si="24"/>
        <v>#DIV/0!</v>
      </c>
      <c r="AQ23" s="26" t="e">
        <f t="shared" si="24"/>
        <v>#DIV/0!</v>
      </c>
      <c r="AR23" s="26" t="e">
        <f t="shared" si="24"/>
        <v>#DIV/0!</v>
      </c>
      <c r="AS23" s="26" t="e">
        <f t="shared" si="24"/>
        <v>#DIV/0!</v>
      </c>
      <c r="AT23" s="26" t="e">
        <f t="shared" si="24"/>
        <v>#DIV/0!</v>
      </c>
      <c r="AU23" s="26" t="e">
        <f t="shared" si="24"/>
        <v>#DIV/0!</v>
      </c>
      <c r="AV23" s="75" t="e">
        <f t="shared" si="24"/>
        <v>#DIV/0!</v>
      </c>
      <c r="AW23" s="76" t="e">
        <f t="shared" ref="AW23:BH23" si="25">(AW21/AW22)</f>
        <v>#DIV/0!</v>
      </c>
      <c r="AX23" s="75" t="e">
        <f t="shared" si="25"/>
        <v>#DIV/0!</v>
      </c>
      <c r="AY23" s="72" t="e">
        <f t="shared" ref="AY23:BD23" si="26">(AY21/AY22)</f>
        <v>#DIV/0!</v>
      </c>
      <c r="AZ23" s="19" t="e">
        <f t="shared" si="26"/>
        <v>#DIV/0!</v>
      </c>
      <c r="BA23" s="72" t="e">
        <f t="shared" si="26"/>
        <v>#DIV/0!</v>
      </c>
      <c r="BB23" s="19" t="e">
        <f t="shared" si="26"/>
        <v>#DIV/0!</v>
      </c>
      <c r="BC23" s="72" t="e">
        <f t="shared" si="26"/>
        <v>#DIV/0!</v>
      </c>
      <c r="BD23" s="19" t="e">
        <f t="shared" si="26"/>
        <v>#DIV/0!</v>
      </c>
      <c r="BE23" s="72" t="e">
        <f t="shared" si="25"/>
        <v>#DIV/0!</v>
      </c>
      <c r="BF23" s="71" t="e">
        <f t="shared" si="25"/>
        <v>#DIV/0!</v>
      </c>
      <c r="BG23" s="72" t="e">
        <f t="shared" si="25"/>
        <v>#DIV/0!</v>
      </c>
      <c r="BH23" s="71" t="e">
        <f t="shared" si="25"/>
        <v>#DIV/0!</v>
      </c>
      <c r="BI23" s="72" t="e">
        <f>(BI21/BI22)</f>
        <v>#DIV/0!</v>
      </c>
      <c r="BJ23" s="194" t="e">
        <f>(BJ21/BJ22)</f>
        <v>#DIV/0!</v>
      </c>
      <c r="BK23" s="195" t="e">
        <f>(BK21/BK22)</f>
        <v>#DIV/0!</v>
      </c>
      <c r="BL23" s="143" t="e">
        <f>(BL21/BL22)</f>
        <v>#DIV/0!</v>
      </c>
      <c r="BM23" s="19"/>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row>
    <row r="24" spans="1:328" s="16" customFormat="1">
      <c r="A24" s="15" t="s">
        <v>7</v>
      </c>
      <c r="B24" s="15"/>
      <c r="AI24" s="24"/>
      <c r="AJ24" s="24"/>
      <c r="AK24" s="24"/>
      <c r="AL24" s="24"/>
      <c r="AM24" s="24"/>
      <c r="AN24" s="24"/>
      <c r="AO24" s="24"/>
      <c r="AP24" s="24"/>
      <c r="AQ24" s="24"/>
      <c r="AR24" s="24"/>
      <c r="AS24" s="24"/>
      <c r="AT24" s="24"/>
      <c r="AU24" s="24"/>
      <c r="AV24" s="69"/>
      <c r="AW24" s="70"/>
      <c r="AX24" s="69"/>
      <c r="AY24" s="70"/>
      <c r="AZ24" s="24"/>
      <c r="BA24" s="70"/>
      <c r="BB24" s="24"/>
      <c r="BC24" s="70"/>
      <c r="BD24" s="24"/>
      <c r="BE24" s="70"/>
      <c r="BF24" s="69"/>
      <c r="BG24" s="70"/>
      <c r="BH24" s="69"/>
      <c r="BI24" s="70"/>
      <c r="BJ24" s="188"/>
      <c r="BK24" s="189"/>
      <c r="BL24" s="140"/>
      <c r="BM24" s="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row>
    <row r="25" spans="1:328" s="105" customFormat="1" ht="9" customHeight="1">
      <c r="A25" s="104"/>
      <c r="B25" s="104" t="s">
        <v>17</v>
      </c>
      <c r="C25" s="105">
        <v>37967</v>
      </c>
      <c r="D25" s="105">
        <v>35049</v>
      </c>
      <c r="E25" s="105">
        <v>35744</v>
      </c>
      <c r="F25" s="105">
        <v>33863</v>
      </c>
      <c r="G25" s="105">
        <v>34449</v>
      </c>
      <c r="H25" s="105">
        <v>32962</v>
      </c>
      <c r="I25" s="105">
        <f>34176+72</f>
        <v>34248</v>
      </c>
      <c r="J25" s="105">
        <f>33032+269</f>
        <v>33301</v>
      </c>
      <c r="K25" s="105">
        <f>35077+12</f>
        <v>35089</v>
      </c>
      <c r="L25" s="105">
        <f>34714+6</f>
        <v>34720</v>
      </c>
      <c r="M25" s="105">
        <v>35654</v>
      </c>
      <c r="N25" s="105">
        <v>34247</v>
      </c>
      <c r="O25" s="105">
        <f>35146+18</f>
        <v>35164</v>
      </c>
      <c r="P25" s="105">
        <f>32852+101</f>
        <v>32953</v>
      </c>
      <c r="Q25" s="105">
        <f>33411+231</f>
        <v>33642</v>
      </c>
      <c r="R25" s="105">
        <f>32437+21</f>
        <v>32458</v>
      </c>
      <c r="S25" s="105">
        <f>32341+48</f>
        <v>32389</v>
      </c>
      <c r="T25" s="105">
        <f>32647+90</f>
        <v>32737</v>
      </c>
      <c r="U25" s="105">
        <f>33399+129</f>
        <v>33528</v>
      </c>
      <c r="V25" s="105">
        <v>31912</v>
      </c>
      <c r="W25" s="105">
        <f>32866+322</f>
        <v>33188</v>
      </c>
      <c r="X25" s="105">
        <f>31901+385</f>
        <v>32286</v>
      </c>
      <c r="Y25" s="105">
        <f>33016+292</f>
        <v>33308</v>
      </c>
      <c r="Z25" s="105">
        <f>32732+165</f>
        <v>32897</v>
      </c>
      <c r="AA25" s="105">
        <f>34114+252</f>
        <v>34366</v>
      </c>
      <c r="AB25" s="105">
        <f>32538+262</f>
        <v>32800</v>
      </c>
      <c r="AC25" s="105">
        <v>36805</v>
      </c>
      <c r="AD25" s="105">
        <v>37769</v>
      </c>
      <c r="AE25" s="105">
        <v>39745</v>
      </c>
      <c r="AF25" s="105">
        <v>38467</v>
      </c>
      <c r="AG25" s="105">
        <v>40369</v>
      </c>
      <c r="AH25" s="105">
        <v>37950</v>
      </c>
      <c r="AI25" s="106">
        <v>38847</v>
      </c>
      <c r="AJ25" s="106">
        <v>37501</v>
      </c>
      <c r="AK25" s="106">
        <v>37205</v>
      </c>
      <c r="AL25" s="106">
        <v>35398</v>
      </c>
      <c r="AM25" s="106">
        <v>35590</v>
      </c>
      <c r="AN25" s="106">
        <v>34394</v>
      </c>
      <c r="AO25" s="106">
        <v>36306</v>
      </c>
      <c r="AP25" s="106">
        <v>35237</v>
      </c>
      <c r="AQ25" s="106">
        <v>37876</v>
      </c>
      <c r="AR25" s="106">
        <v>36547</v>
      </c>
      <c r="AS25" s="106">
        <v>41278</v>
      </c>
      <c r="AT25" s="106">
        <v>39731</v>
      </c>
      <c r="AU25" s="106">
        <v>44848</v>
      </c>
      <c r="AV25" s="107">
        <v>41707</v>
      </c>
      <c r="AW25" s="108">
        <v>48843</v>
      </c>
      <c r="AX25" s="107">
        <v>45896</v>
      </c>
      <c r="AY25" s="108">
        <v>52158</v>
      </c>
      <c r="AZ25" s="106">
        <v>50665</v>
      </c>
      <c r="BA25" s="108">
        <v>56942</v>
      </c>
      <c r="BB25" s="106">
        <v>53088</v>
      </c>
      <c r="BC25" s="108">
        <v>57606.130000000005</v>
      </c>
      <c r="BD25" s="106">
        <v>55577.040000000008</v>
      </c>
      <c r="BE25" s="108">
        <v>61763.7</v>
      </c>
      <c r="BF25" s="107">
        <v>59185.440000000002</v>
      </c>
      <c r="BG25" s="108">
        <v>64947.11</v>
      </c>
      <c r="BH25" s="107">
        <v>62398.49</v>
      </c>
      <c r="BI25" s="108">
        <v>67114.14</v>
      </c>
      <c r="BJ25" s="190">
        <v>63428.639999999999</v>
      </c>
      <c r="BK25" s="191">
        <v>70918.05</v>
      </c>
      <c r="BL25" s="141"/>
      <c r="BM25" s="106"/>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row>
    <row r="26" spans="1:328" s="95" customFormat="1" ht="9" customHeight="1">
      <c r="A26" s="109"/>
      <c r="B26" s="109" t="s">
        <v>20</v>
      </c>
      <c r="C26" s="95">
        <v>254.33</v>
      </c>
      <c r="D26" s="95">
        <v>256.43</v>
      </c>
      <c r="E26" s="95">
        <v>246.11</v>
      </c>
      <c r="F26" s="95">
        <v>256.5</v>
      </c>
      <c r="G26" s="95">
        <v>247.27</v>
      </c>
      <c r="H26" s="95">
        <v>241.57</v>
      </c>
      <c r="I26" s="95">
        <v>227.65</v>
      </c>
      <c r="J26" s="95">
        <v>230.96</v>
      </c>
      <c r="K26" s="95">
        <v>242.09</v>
      </c>
      <c r="L26" s="95">
        <v>241.96</v>
      </c>
      <c r="M26" s="95">
        <v>247.13</v>
      </c>
      <c r="N26" s="95">
        <v>233.65</v>
      </c>
      <c r="O26" s="95">
        <v>235.67</v>
      </c>
      <c r="P26" s="95">
        <v>229.7</v>
      </c>
      <c r="Q26" s="95">
        <v>225.48</v>
      </c>
      <c r="R26" s="95">
        <v>232.16</v>
      </c>
      <c r="S26" s="95">
        <v>227.1</v>
      </c>
      <c r="T26" s="95">
        <v>227.69</v>
      </c>
      <c r="U26" s="95">
        <v>233.03</v>
      </c>
      <c r="V26" s="95">
        <v>237.01</v>
      </c>
      <c r="W26" s="95">
        <v>237.94</v>
      </c>
      <c r="X26" s="95">
        <v>239.96</v>
      </c>
      <c r="Y26" s="95">
        <v>238.24</v>
      </c>
      <c r="Z26" s="95">
        <v>235.06</v>
      </c>
      <c r="AA26" s="95">
        <v>235.71</v>
      </c>
      <c r="AB26" s="95">
        <v>230.84</v>
      </c>
      <c r="AC26" s="95">
        <v>233.51</v>
      </c>
      <c r="AD26" s="95">
        <v>237.17</v>
      </c>
      <c r="AE26" s="95">
        <v>221.91</v>
      </c>
      <c r="AF26" s="95">
        <v>234.53</v>
      </c>
      <c r="AG26" s="95">
        <v>240.31</v>
      </c>
      <c r="AH26" s="95">
        <v>238.59</v>
      </c>
      <c r="AI26" s="96">
        <v>235.25</v>
      </c>
      <c r="AJ26" s="96">
        <v>231.01</v>
      </c>
      <c r="AK26" s="96">
        <v>229.45</v>
      </c>
      <c r="AL26" s="96">
        <v>223.13</v>
      </c>
      <c r="AM26" s="96">
        <v>239.39</v>
      </c>
      <c r="AN26" s="96">
        <v>221.43</v>
      </c>
      <c r="AO26" s="96">
        <v>233.27</v>
      </c>
      <c r="AP26" s="96">
        <v>236.84</v>
      </c>
      <c r="AQ26" s="96">
        <v>245.98</v>
      </c>
      <c r="AR26" s="96">
        <v>240.88</v>
      </c>
      <c r="AS26" s="96">
        <v>209.94</v>
      </c>
      <c r="AT26" s="96">
        <v>208.92</v>
      </c>
      <c r="AU26" s="96">
        <v>235.23</v>
      </c>
      <c r="AV26" s="110">
        <v>223.75</v>
      </c>
      <c r="AW26" s="111">
        <v>248.6</v>
      </c>
      <c r="AX26" s="110">
        <v>249.49</v>
      </c>
      <c r="AY26" s="111">
        <v>269.54000000000002</v>
      </c>
      <c r="AZ26" s="96">
        <v>271.26</v>
      </c>
      <c r="BA26" s="111">
        <v>277.69</v>
      </c>
      <c r="BB26" s="96">
        <v>278.77</v>
      </c>
      <c r="BC26" s="111">
        <v>288.06270000000001</v>
      </c>
      <c r="BD26" s="96">
        <v>302.44400000000002</v>
      </c>
      <c r="BE26" s="111">
        <v>324.30709999999999</v>
      </c>
      <c r="BF26" s="110">
        <v>341.54</v>
      </c>
      <c r="BG26" s="111">
        <v>348.92999999999995</v>
      </c>
      <c r="BH26" s="110">
        <v>345.77000000000004</v>
      </c>
      <c r="BI26" s="111">
        <v>325.11</v>
      </c>
      <c r="BJ26" s="192">
        <v>316.81</v>
      </c>
      <c r="BK26" s="193">
        <v>322.89999999999998</v>
      </c>
      <c r="BL26" s="142"/>
      <c r="BM26" s="9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row>
    <row r="27" spans="1:328" s="106" customFormat="1" ht="9" customHeight="1">
      <c r="A27" s="104"/>
      <c r="B27" s="104" t="s">
        <v>18</v>
      </c>
      <c r="C27" s="105">
        <f t="shared" ref="C27:L27" si="27">(C25/C26)</f>
        <v>149.28242834113161</v>
      </c>
      <c r="D27" s="105">
        <f t="shared" si="27"/>
        <v>136.68057559567913</v>
      </c>
      <c r="E27" s="105">
        <f t="shared" si="27"/>
        <v>145.23587013936856</v>
      </c>
      <c r="F27" s="105">
        <f t="shared" si="27"/>
        <v>132.01949317738791</v>
      </c>
      <c r="G27" s="105">
        <f t="shared" si="27"/>
        <v>139.31734541189792</v>
      </c>
      <c r="H27" s="105">
        <f t="shared" si="27"/>
        <v>136.44906238357413</v>
      </c>
      <c r="I27" s="105">
        <f t="shared" si="27"/>
        <v>150.44146716450692</v>
      </c>
      <c r="J27" s="105">
        <f t="shared" si="27"/>
        <v>144.18514028403186</v>
      </c>
      <c r="K27" s="105">
        <f t="shared" si="27"/>
        <v>144.94196373249619</v>
      </c>
      <c r="L27" s="105">
        <f t="shared" si="27"/>
        <v>143.49479252769052</v>
      </c>
      <c r="M27" s="105">
        <f t="shared" ref="M27:V27" si="28">(M25/M26)</f>
        <v>144.27224537692712</v>
      </c>
      <c r="N27" s="105">
        <f t="shared" si="28"/>
        <v>146.57393537342179</v>
      </c>
      <c r="O27" s="105">
        <f t="shared" si="28"/>
        <v>149.20863919887981</v>
      </c>
      <c r="P27" s="105">
        <f t="shared" si="28"/>
        <v>143.46103613408795</v>
      </c>
      <c r="Q27" s="105">
        <f t="shared" si="28"/>
        <v>149.20170303352847</v>
      </c>
      <c r="R27" s="105">
        <f t="shared" si="28"/>
        <v>139.80875258442452</v>
      </c>
      <c r="S27" s="105">
        <f t="shared" si="28"/>
        <v>142.61999119330693</v>
      </c>
      <c r="T27" s="105">
        <f t="shared" si="28"/>
        <v>143.77882208265623</v>
      </c>
      <c r="U27" s="105">
        <f t="shared" si="28"/>
        <v>143.87847058318673</v>
      </c>
      <c r="V27" s="105">
        <f t="shared" si="28"/>
        <v>134.6441078435509</v>
      </c>
      <c r="W27" s="105">
        <f t="shared" ref="W27:AB27" si="29">(W25/W26)</f>
        <v>139.48054131293603</v>
      </c>
      <c r="X27" s="105">
        <f t="shared" si="29"/>
        <v>134.54742457076179</v>
      </c>
      <c r="Y27" s="105">
        <f t="shared" si="29"/>
        <v>139.80859637340495</v>
      </c>
      <c r="Z27" s="105">
        <f t="shared" si="29"/>
        <v>139.95150174423551</v>
      </c>
      <c r="AA27" s="105">
        <f t="shared" si="29"/>
        <v>145.79780238428577</v>
      </c>
      <c r="AB27" s="105">
        <f t="shared" si="29"/>
        <v>142.08975914053025</v>
      </c>
      <c r="AC27" s="105">
        <f>(AC25/AC26)</f>
        <v>157.61637617232668</v>
      </c>
      <c r="AD27" s="105">
        <f>(AD25/AD26)</f>
        <v>159.24864021587891</v>
      </c>
      <c r="AE27" s="105">
        <f>(AE25/AE26)</f>
        <v>179.10414131855256</v>
      </c>
      <c r="AF27" s="105">
        <f>(AF25/AF26)</f>
        <v>164.01739649511791</v>
      </c>
      <c r="AG27" s="105">
        <f t="shared" ref="AG27:AL27" si="30">(AG25/AG26)</f>
        <v>167.98718322167201</v>
      </c>
      <c r="AH27" s="105">
        <f t="shared" si="30"/>
        <v>159.05947441217151</v>
      </c>
      <c r="AI27" s="106">
        <f t="shared" si="30"/>
        <v>165.1307120085016</v>
      </c>
      <c r="AJ27" s="106">
        <f t="shared" si="30"/>
        <v>162.3349638543786</v>
      </c>
      <c r="AK27" s="106">
        <f t="shared" si="30"/>
        <v>162.148616256265</v>
      </c>
      <c r="AL27" s="106">
        <f t="shared" si="30"/>
        <v>158.64294357549412</v>
      </c>
      <c r="AM27" s="106">
        <f>(AM25/AM26)</f>
        <v>148.66953506829861</v>
      </c>
      <c r="AN27" s="106">
        <f>(AN25/AN26)</f>
        <v>155.32673982748497</v>
      </c>
      <c r="AO27" s="106">
        <f t="shared" ref="AO27:AV27" si="31">(AO25/AO26)</f>
        <v>155.6393878338406</v>
      </c>
      <c r="AP27" s="106">
        <f t="shared" si="31"/>
        <v>148.77976693126161</v>
      </c>
      <c r="AQ27" s="106">
        <f t="shared" si="31"/>
        <v>153.97999837385154</v>
      </c>
      <c r="AR27" s="106">
        <f t="shared" si="31"/>
        <v>151.72284955164398</v>
      </c>
      <c r="AS27" s="106">
        <f t="shared" si="31"/>
        <v>196.61808135657807</v>
      </c>
      <c r="AT27" s="106">
        <f t="shared" si="31"/>
        <v>190.17327206586253</v>
      </c>
      <c r="AU27" s="106">
        <f t="shared" si="31"/>
        <v>190.65595374739618</v>
      </c>
      <c r="AV27" s="107">
        <f t="shared" si="31"/>
        <v>186.4</v>
      </c>
      <c r="AW27" s="108">
        <f t="shared" ref="AW27:BH27" si="32">(AW25/AW26)</f>
        <v>196.47224456958972</v>
      </c>
      <c r="AX27" s="107">
        <f t="shared" si="32"/>
        <v>183.95927692492685</v>
      </c>
      <c r="AY27" s="108">
        <f t="shared" ref="AY27:BD27" si="33">(AY25/AY26)</f>
        <v>193.50745714921717</v>
      </c>
      <c r="AZ27" s="106">
        <f t="shared" si="33"/>
        <v>186.77652436776526</v>
      </c>
      <c r="BA27" s="108">
        <f t="shared" si="33"/>
        <v>205.05599769527171</v>
      </c>
      <c r="BB27" s="106">
        <f t="shared" si="33"/>
        <v>190.43656060551712</v>
      </c>
      <c r="BC27" s="108">
        <f t="shared" si="33"/>
        <v>199.97774790002316</v>
      </c>
      <c r="BD27" s="106">
        <f t="shared" si="33"/>
        <v>183.75977040377725</v>
      </c>
      <c r="BE27" s="108">
        <f t="shared" si="32"/>
        <v>190.44818938592462</v>
      </c>
      <c r="BF27" s="107">
        <f t="shared" si="32"/>
        <v>173.28992211746794</v>
      </c>
      <c r="BG27" s="108">
        <f t="shared" si="32"/>
        <v>186.13220416702492</v>
      </c>
      <c r="BH27" s="107">
        <f t="shared" si="32"/>
        <v>180.46241721375478</v>
      </c>
      <c r="BI27" s="108">
        <f>(BI25/BI26)</f>
        <v>206.4351757866568</v>
      </c>
      <c r="BJ27" s="190">
        <f>(BJ25/BJ26)</f>
        <v>200.21034689561566</v>
      </c>
      <c r="BK27" s="191">
        <f>(BK25/BK26)</f>
        <v>219.6285227624652</v>
      </c>
      <c r="BL27" s="141" t="e">
        <f>(BL25/BL26)</f>
        <v>#DIV/0!</v>
      </c>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row>
    <row r="28" spans="1:328" s="16" customFormat="1" ht="10.15" hidden="1" customHeight="1">
      <c r="A28" s="15" t="s">
        <v>8</v>
      </c>
      <c r="AI28" s="24"/>
      <c r="AJ28" s="24"/>
      <c r="AL28" s="24"/>
      <c r="AM28" s="24"/>
      <c r="AN28" s="24"/>
      <c r="AO28" s="24"/>
      <c r="AP28" s="24"/>
      <c r="AQ28" s="24"/>
      <c r="AR28" s="24"/>
      <c r="AS28" s="24"/>
      <c r="AT28" s="24"/>
      <c r="AU28" s="24"/>
      <c r="AV28" s="69"/>
      <c r="AW28" s="70"/>
      <c r="AX28" s="69"/>
      <c r="AY28" s="70"/>
      <c r="AZ28" s="24"/>
      <c r="BA28" s="70"/>
      <c r="BB28" s="24"/>
      <c r="BC28" s="70"/>
      <c r="BD28" s="24"/>
      <c r="BE28" s="70"/>
      <c r="BF28" s="69"/>
      <c r="BG28" s="70"/>
      <c r="BH28" s="69"/>
      <c r="BI28" s="70"/>
      <c r="BJ28" s="188"/>
      <c r="BK28" s="189"/>
      <c r="BL28" s="140"/>
      <c r="BM28" s="24"/>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row>
    <row r="29" spans="1:328" s="17" customFormat="1" ht="10.15" hidden="1" customHeight="1">
      <c r="A29" s="18"/>
      <c r="B29" s="18" t="s">
        <v>17</v>
      </c>
      <c r="C29" s="17">
        <v>15952</v>
      </c>
      <c r="D29" s="17">
        <v>14720</v>
      </c>
      <c r="E29" s="17">
        <v>16405</v>
      </c>
      <c r="F29" s="17">
        <v>15028</v>
      </c>
      <c r="G29" s="17">
        <v>15926</v>
      </c>
      <c r="H29" s="17">
        <f>14880</f>
        <v>14880</v>
      </c>
      <c r="I29" s="17">
        <f>15819+90</f>
        <v>15909</v>
      </c>
      <c r="J29" s="17">
        <f>15748+96</f>
        <v>15844</v>
      </c>
      <c r="K29" s="17">
        <f>15806+63</f>
        <v>15869</v>
      </c>
      <c r="L29" s="17">
        <f>15118+59</f>
        <v>15177</v>
      </c>
      <c r="M29" s="17">
        <f>15990+26</f>
        <v>16016</v>
      </c>
      <c r="N29" s="17">
        <v>15142</v>
      </c>
      <c r="O29" s="17">
        <f>15875+33</f>
        <v>15908</v>
      </c>
      <c r="P29" s="17">
        <f>15379+24</f>
        <v>15403</v>
      </c>
      <c r="Q29" s="17">
        <f>15904+69</f>
        <v>15973</v>
      </c>
      <c r="R29" s="17">
        <f>14986+72</f>
        <v>15058</v>
      </c>
      <c r="S29" s="17">
        <f>15926+48</f>
        <v>15974</v>
      </c>
      <c r="T29" s="17">
        <f>15104+108</f>
        <v>15212</v>
      </c>
      <c r="U29" s="17">
        <f>16047+78</f>
        <v>16125</v>
      </c>
      <c r="V29" s="17">
        <v>14989</v>
      </c>
      <c r="W29" s="17">
        <f>15822+94</f>
        <v>15916</v>
      </c>
      <c r="X29" s="17">
        <f>15414+162</f>
        <v>15576</v>
      </c>
      <c r="Y29" s="17">
        <f>16164+279</f>
        <v>16443</v>
      </c>
      <c r="Z29" s="17">
        <f>15488+280</f>
        <v>15768</v>
      </c>
      <c r="AA29" s="17">
        <f>17017+394</f>
        <v>17411</v>
      </c>
      <c r="AB29" s="17">
        <f>16187+191</f>
        <v>16378</v>
      </c>
      <c r="AC29" s="17">
        <v>17716</v>
      </c>
      <c r="AD29" s="17">
        <v>16988</v>
      </c>
      <c r="AE29" s="17">
        <v>17200</v>
      </c>
      <c r="AF29" s="17">
        <v>16292</v>
      </c>
      <c r="AG29" s="17">
        <v>16441</v>
      </c>
      <c r="AH29" s="17">
        <v>16278</v>
      </c>
      <c r="AI29" s="19">
        <v>15598</v>
      </c>
      <c r="AJ29" s="19">
        <v>16179</v>
      </c>
      <c r="AK29" s="19"/>
      <c r="AL29" s="19"/>
      <c r="AR29" s="19"/>
      <c r="AS29" s="19"/>
      <c r="AT29" s="19"/>
      <c r="AU29" s="19"/>
      <c r="AV29" s="71"/>
      <c r="AW29" s="72"/>
      <c r="AX29" s="71"/>
      <c r="AY29" s="72"/>
      <c r="AZ29" s="19"/>
      <c r="BA29" s="72"/>
      <c r="BB29" s="19"/>
      <c r="BC29" s="72"/>
      <c r="BD29" s="19"/>
      <c r="BE29" s="72"/>
      <c r="BF29" s="71"/>
      <c r="BG29" s="72"/>
      <c r="BH29" s="71"/>
      <c r="BI29" s="72"/>
      <c r="BJ29" s="198"/>
      <c r="BK29" s="195"/>
      <c r="BL29" s="145"/>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row>
    <row r="30" spans="1:328" s="20" customFormat="1" ht="10.15" hidden="1" customHeight="1">
      <c r="A30" s="21"/>
      <c r="B30" s="21" t="s">
        <v>20</v>
      </c>
      <c r="C30" s="20">
        <v>82.73</v>
      </c>
      <c r="D30" s="20">
        <v>78.86</v>
      </c>
      <c r="E30" s="20">
        <v>76.959999999999994</v>
      </c>
      <c r="F30" s="20">
        <v>78.209999999999994</v>
      </c>
      <c r="G30" s="20">
        <v>77.58</v>
      </c>
      <c r="H30" s="20">
        <v>78.349999999999994</v>
      </c>
      <c r="I30" s="20">
        <v>69.459999999999994</v>
      </c>
      <c r="J30" s="20">
        <v>72.81</v>
      </c>
      <c r="K30" s="20">
        <v>70.13</v>
      </c>
      <c r="L30" s="20">
        <v>71.62</v>
      </c>
      <c r="M30" s="20">
        <v>71.209999999999994</v>
      </c>
      <c r="N30" s="20">
        <v>70.709999999999994</v>
      </c>
      <c r="O30" s="20">
        <v>65.98</v>
      </c>
      <c r="P30" s="20">
        <v>66.849999999999994</v>
      </c>
      <c r="Q30" s="20">
        <v>66.13</v>
      </c>
      <c r="R30" s="20">
        <v>66.260000000000005</v>
      </c>
      <c r="S30" s="20">
        <v>67.209999999999994</v>
      </c>
      <c r="T30" s="20">
        <v>65.849999999999994</v>
      </c>
      <c r="U30" s="20">
        <v>67.94</v>
      </c>
      <c r="V30" s="20">
        <v>64.900000000000006</v>
      </c>
      <c r="W30" s="20">
        <v>65.430000000000007</v>
      </c>
      <c r="X30" s="20">
        <v>63.77</v>
      </c>
      <c r="Y30" s="20">
        <v>65.14</v>
      </c>
      <c r="Z30" s="20">
        <v>65.099999999999994</v>
      </c>
      <c r="AA30" s="20">
        <v>65.819999999999993</v>
      </c>
      <c r="AB30" s="20">
        <v>64.3</v>
      </c>
      <c r="AC30" s="20">
        <v>63.45</v>
      </c>
      <c r="AD30" s="20">
        <v>63.39</v>
      </c>
      <c r="AE30" s="20">
        <v>78.55</v>
      </c>
      <c r="AF30" s="20">
        <v>78.180000000000007</v>
      </c>
      <c r="AG30" s="20">
        <v>74.3</v>
      </c>
      <c r="AH30" s="20">
        <v>65.790000000000006</v>
      </c>
      <c r="AI30" s="22">
        <v>64.95</v>
      </c>
      <c r="AJ30" s="22">
        <v>67.180000000000007</v>
      </c>
      <c r="AK30" s="22"/>
      <c r="AL30" s="22"/>
      <c r="AR30" s="22"/>
      <c r="AS30" s="22"/>
      <c r="AT30" s="22"/>
      <c r="AU30" s="22"/>
      <c r="AV30" s="73"/>
      <c r="AW30" s="74"/>
      <c r="AX30" s="73"/>
      <c r="AY30" s="74"/>
      <c r="AZ30" s="22"/>
      <c r="BA30" s="74"/>
      <c r="BB30" s="22"/>
      <c r="BC30" s="74"/>
      <c r="BD30" s="22"/>
      <c r="BE30" s="74"/>
      <c r="BF30" s="73"/>
      <c r="BG30" s="74"/>
      <c r="BH30" s="73"/>
      <c r="BI30" s="74"/>
      <c r="BJ30" s="199"/>
      <c r="BK30" s="197"/>
      <c r="BL30" s="146"/>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row>
    <row r="31" spans="1:328" s="17" customFormat="1" ht="13.15" hidden="1" customHeight="1">
      <c r="A31" s="27"/>
      <c r="B31" s="18" t="s">
        <v>18</v>
      </c>
      <c r="C31" s="17">
        <f t="shared" ref="C31:L31" si="34">(C29/C30)</f>
        <v>192.82001692251902</v>
      </c>
      <c r="D31" s="17">
        <f t="shared" si="34"/>
        <v>186.6599036266802</v>
      </c>
      <c r="E31" s="17">
        <f t="shared" si="34"/>
        <v>213.16268191268193</v>
      </c>
      <c r="F31" s="17">
        <f t="shared" si="34"/>
        <v>192.14934151643013</v>
      </c>
      <c r="G31" s="17">
        <f t="shared" si="34"/>
        <v>205.28486723382315</v>
      </c>
      <c r="H31" s="17">
        <f t="shared" si="34"/>
        <v>189.91703892788769</v>
      </c>
      <c r="I31" s="17">
        <f t="shared" si="34"/>
        <v>229.03829542182552</v>
      </c>
      <c r="J31" s="17">
        <f t="shared" si="34"/>
        <v>217.60747150116742</v>
      </c>
      <c r="K31" s="17">
        <f t="shared" si="34"/>
        <v>226.27976614858122</v>
      </c>
      <c r="L31" s="17">
        <f t="shared" si="34"/>
        <v>211.91008098296564</v>
      </c>
      <c r="M31" s="17">
        <f t="shared" ref="M31:V31" si="35">(M29/M30)</f>
        <v>224.91223142817023</v>
      </c>
      <c r="N31" s="17">
        <f t="shared" si="35"/>
        <v>214.14227124876257</v>
      </c>
      <c r="O31" s="17">
        <f t="shared" si="35"/>
        <v>241.10336465595634</v>
      </c>
      <c r="P31" s="17">
        <f t="shared" si="35"/>
        <v>230.41136873597608</v>
      </c>
      <c r="Q31" s="17">
        <f t="shared" si="35"/>
        <v>241.539392106457</v>
      </c>
      <c r="R31" s="17">
        <f t="shared" si="35"/>
        <v>227.25626320555386</v>
      </c>
      <c r="S31" s="17">
        <f t="shared" si="35"/>
        <v>237.67296533253983</v>
      </c>
      <c r="T31" s="17">
        <f t="shared" si="35"/>
        <v>231.00987091875476</v>
      </c>
      <c r="U31" s="17">
        <f t="shared" si="35"/>
        <v>237.34177215189874</v>
      </c>
      <c r="V31" s="17">
        <f t="shared" si="35"/>
        <v>230.95531587057008</v>
      </c>
      <c r="W31" s="17">
        <f t="shared" ref="W31:AB31" si="36">(W29/W30)</f>
        <v>243.25233073513675</v>
      </c>
      <c r="X31" s="17">
        <f t="shared" si="36"/>
        <v>244.25278344048925</v>
      </c>
      <c r="Y31" s="17">
        <f t="shared" si="36"/>
        <v>252.42554498004299</v>
      </c>
      <c r="Z31" s="17">
        <f t="shared" si="36"/>
        <v>242.2119815668203</v>
      </c>
      <c r="AA31" s="17">
        <f t="shared" si="36"/>
        <v>264.52446065025833</v>
      </c>
      <c r="AB31" s="17">
        <f t="shared" si="36"/>
        <v>254.71228615863143</v>
      </c>
      <c r="AC31" s="17">
        <f>(AC29/AC30)</f>
        <v>279.21197793538215</v>
      </c>
      <c r="AD31" s="17">
        <f>(AD29/AD30)</f>
        <v>267.9917968133775</v>
      </c>
      <c r="AE31" s="17">
        <f>(AE29/AE30)</f>
        <v>218.968809675366</v>
      </c>
      <c r="AF31" s="17">
        <f>(AF29/AF30)</f>
        <v>208.3908928114607</v>
      </c>
      <c r="AG31" s="17">
        <f t="shared" ref="AG31:AL31" si="37">(AG29/AG30)</f>
        <v>221.27860026917901</v>
      </c>
      <c r="AH31" s="17">
        <f t="shared" si="37"/>
        <v>247.42362061103509</v>
      </c>
      <c r="AI31" s="17">
        <f t="shared" si="37"/>
        <v>240.1539645881447</v>
      </c>
      <c r="AJ31" s="17">
        <f t="shared" si="37"/>
        <v>240.83060434653169</v>
      </c>
      <c r="AK31" s="25" t="e">
        <f t="shared" si="37"/>
        <v>#DIV/0!</v>
      </c>
      <c r="AL31" s="25" t="e">
        <f t="shared" si="37"/>
        <v>#DIV/0!</v>
      </c>
      <c r="AM31" s="25" t="e">
        <f>(AM29/AM30)</f>
        <v>#DIV/0!</v>
      </c>
      <c r="AN31" s="25" t="e">
        <f>(AN29/AN30)</f>
        <v>#DIV/0!</v>
      </c>
      <c r="AO31" s="25" t="e">
        <f t="shared" ref="AO31:AV31" si="38">(AO29/AO30)</f>
        <v>#DIV/0!</v>
      </c>
      <c r="AP31" s="25" t="e">
        <f t="shared" si="38"/>
        <v>#DIV/0!</v>
      </c>
      <c r="AQ31" s="25" t="e">
        <f t="shared" si="38"/>
        <v>#DIV/0!</v>
      </c>
      <c r="AR31" s="26" t="e">
        <f t="shared" si="38"/>
        <v>#DIV/0!</v>
      </c>
      <c r="AS31" s="26" t="e">
        <f t="shared" si="38"/>
        <v>#DIV/0!</v>
      </c>
      <c r="AT31" s="26" t="e">
        <f t="shared" si="38"/>
        <v>#DIV/0!</v>
      </c>
      <c r="AU31" s="26" t="e">
        <f t="shared" si="38"/>
        <v>#DIV/0!</v>
      </c>
      <c r="AV31" s="75" t="e">
        <f t="shared" si="38"/>
        <v>#DIV/0!</v>
      </c>
      <c r="AW31" s="76" t="e">
        <f t="shared" ref="AW31:BB31" si="39">(AW29/AW30)</f>
        <v>#DIV/0!</v>
      </c>
      <c r="AX31" s="75" t="e">
        <f t="shared" si="39"/>
        <v>#DIV/0!</v>
      </c>
      <c r="AY31" s="72" t="e">
        <f t="shared" si="39"/>
        <v>#DIV/0!</v>
      </c>
      <c r="AZ31" s="19" t="e">
        <f t="shared" si="39"/>
        <v>#DIV/0!</v>
      </c>
      <c r="BA31" s="72" t="e">
        <f t="shared" si="39"/>
        <v>#DIV/0!</v>
      </c>
      <c r="BB31" s="19" t="e">
        <f t="shared" si="39"/>
        <v>#DIV/0!</v>
      </c>
      <c r="BC31"/>
      <c r="BD31"/>
      <c r="BE31"/>
      <c r="BF31" s="133"/>
      <c r="BG31" s="72" t="e">
        <f t="shared" ref="BG31:BL31" si="40">(BG29/BG30)</f>
        <v>#DIV/0!</v>
      </c>
      <c r="BH31" s="71" t="e">
        <f t="shared" si="40"/>
        <v>#DIV/0!</v>
      </c>
      <c r="BI31" s="72" t="e">
        <f t="shared" si="40"/>
        <v>#DIV/0!</v>
      </c>
      <c r="BJ31" s="198" t="e">
        <f t="shared" si="40"/>
        <v>#DIV/0!</v>
      </c>
      <c r="BK31" s="195" t="e">
        <f t="shared" si="40"/>
        <v>#DIV/0!</v>
      </c>
      <c r="BL31" s="145" t="e">
        <f t="shared" si="40"/>
        <v>#DIV/0!</v>
      </c>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row>
    <row r="32" spans="1:328" s="16" customFormat="1">
      <c r="A32" s="47" t="s">
        <v>28</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55"/>
      <c r="AJ32" s="55"/>
      <c r="AK32" s="55"/>
      <c r="AL32" s="55"/>
      <c r="AM32" s="48"/>
      <c r="AN32" s="48"/>
      <c r="AO32" s="48"/>
      <c r="AP32" s="48"/>
      <c r="AQ32" s="48"/>
      <c r="AR32" s="55"/>
      <c r="AS32" s="55"/>
      <c r="AT32" s="55"/>
      <c r="AU32" s="55"/>
      <c r="AV32" s="63"/>
      <c r="AW32" s="64"/>
      <c r="AX32" s="63"/>
      <c r="AY32" s="64"/>
      <c r="AZ32" s="55"/>
      <c r="BA32" s="64"/>
      <c r="BB32" s="55"/>
      <c r="BC32" s="64"/>
      <c r="BD32" s="55"/>
      <c r="BE32" s="64"/>
      <c r="BF32" s="63"/>
      <c r="BG32" s="64"/>
      <c r="BH32" s="63"/>
      <c r="BI32" s="64"/>
      <c r="BJ32" s="182"/>
      <c r="BK32" s="183"/>
      <c r="BL32" s="137"/>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row>
    <row r="33" spans="1:328" s="105" customFormat="1" ht="9" customHeight="1">
      <c r="A33" s="113"/>
      <c r="B33" s="113" t="s">
        <v>17</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4"/>
      <c r="AJ33" s="114"/>
      <c r="AK33" s="114">
        <v>32712</v>
      </c>
      <c r="AL33" s="114">
        <v>33770</v>
      </c>
      <c r="AM33" s="114">
        <v>32642</v>
      </c>
      <c r="AN33" s="114">
        <v>32368</v>
      </c>
      <c r="AO33" s="114">
        <v>33390</v>
      </c>
      <c r="AP33" s="114">
        <v>33935</v>
      </c>
      <c r="AQ33" s="114">
        <v>35811</v>
      </c>
      <c r="AR33" s="114">
        <v>35968</v>
      </c>
      <c r="AS33" s="114">
        <v>38855</v>
      </c>
      <c r="AT33" s="114">
        <v>39082</v>
      </c>
      <c r="AU33" s="114">
        <v>40652</v>
      </c>
      <c r="AV33" s="115">
        <v>40575</v>
      </c>
      <c r="AW33" s="116">
        <v>44107</v>
      </c>
      <c r="AX33" s="115">
        <v>44902</v>
      </c>
      <c r="AY33" s="116">
        <v>47354</v>
      </c>
      <c r="AZ33" s="114">
        <v>47859</v>
      </c>
      <c r="BA33" s="116">
        <v>50658</v>
      </c>
      <c r="BB33" s="114">
        <v>51822</v>
      </c>
      <c r="BC33" s="116">
        <v>54389.63</v>
      </c>
      <c r="BD33" s="114">
        <v>53535.26</v>
      </c>
      <c r="BE33" s="116">
        <v>54894.75</v>
      </c>
      <c r="BF33" s="115">
        <v>54694.25</v>
      </c>
      <c r="BG33" s="116">
        <v>51247.17</v>
      </c>
      <c r="BH33" s="115">
        <v>52511</v>
      </c>
      <c r="BI33" s="116">
        <v>53305.880000000005</v>
      </c>
      <c r="BJ33" s="184">
        <v>50134.5</v>
      </c>
      <c r="BK33" s="185">
        <v>50496.66</v>
      </c>
      <c r="BL33" s="138"/>
      <c r="BM33" s="106"/>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row>
    <row r="34" spans="1:328" s="95" customFormat="1" ht="9" customHeight="1">
      <c r="A34" s="118"/>
      <c r="B34" s="118" t="s">
        <v>20</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9"/>
      <c r="AJ34" s="119"/>
      <c r="AK34" s="119">
        <v>153.37</v>
      </c>
      <c r="AL34" s="119">
        <v>152.6</v>
      </c>
      <c r="AM34" s="119">
        <v>147.66</v>
      </c>
      <c r="AN34" s="119">
        <v>158.36000000000001</v>
      </c>
      <c r="AO34" s="119">
        <v>152.02000000000001</v>
      </c>
      <c r="AP34" s="119">
        <v>152.44999999999999</v>
      </c>
      <c r="AQ34" s="119">
        <v>151.91999999999999</v>
      </c>
      <c r="AR34" s="119">
        <v>150.9</v>
      </c>
      <c r="AS34" s="119">
        <v>128.16999999999999</v>
      </c>
      <c r="AT34" s="119">
        <v>128.66999999999999</v>
      </c>
      <c r="AU34" s="119">
        <v>136.47999999999999</v>
      </c>
      <c r="AV34" s="120">
        <v>125.06</v>
      </c>
      <c r="AW34" s="121">
        <v>133.91</v>
      </c>
      <c r="AX34" s="120">
        <v>131.19</v>
      </c>
      <c r="AY34" s="121">
        <v>169.4</v>
      </c>
      <c r="AZ34" s="119">
        <v>168.55</v>
      </c>
      <c r="BA34" s="121">
        <v>156.82</v>
      </c>
      <c r="BB34" s="119">
        <v>152.35</v>
      </c>
      <c r="BC34" s="121">
        <v>187.154</v>
      </c>
      <c r="BD34" s="119">
        <v>188.43</v>
      </c>
      <c r="BE34" s="121">
        <v>196.8202</v>
      </c>
      <c r="BF34" s="120">
        <v>194.78</v>
      </c>
      <c r="BG34" s="121">
        <v>194.63000000000002</v>
      </c>
      <c r="BH34" s="120">
        <v>189.04000000000002</v>
      </c>
      <c r="BI34" s="121">
        <v>194.25</v>
      </c>
      <c r="BJ34" s="186">
        <v>195.54</v>
      </c>
      <c r="BK34" s="187">
        <v>186.93</v>
      </c>
      <c r="BL34" s="139"/>
      <c r="BM34" s="96"/>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row>
    <row r="35" spans="1:328" s="105" customFormat="1" ht="9" customHeight="1">
      <c r="A35" s="122"/>
      <c r="B35" s="113" t="s">
        <v>18</v>
      </c>
      <c r="C35" s="112" t="e">
        <f t="shared" ref="C35:BH35" si="41">(C33/C34)</f>
        <v>#DIV/0!</v>
      </c>
      <c r="D35" s="112" t="e">
        <f t="shared" si="41"/>
        <v>#DIV/0!</v>
      </c>
      <c r="E35" s="112" t="e">
        <f t="shared" si="41"/>
        <v>#DIV/0!</v>
      </c>
      <c r="F35" s="112" t="e">
        <f t="shared" si="41"/>
        <v>#DIV/0!</v>
      </c>
      <c r="G35" s="112" t="e">
        <f t="shared" si="41"/>
        <v>#DIV/0!</v>
      </c>
      <c r="H35" s="112" t="e">
        <f t="shared" si="41"/>
        <v>#DIV/0!</v>
      </c>
      <c r="I35" s="112" t="e">
        <f t="shared" si="41"/>
        <v>#DIV/0!</v>
      </c>
      <c r="J35" s="112" t="e">
        <f t="shared" si="41"/>
        <v>#DIV/0!</v>
      </c>
      <c r="K35" s="112" t="e">
        <f t="shared" si="41"/>
        <v>#DIV/0!</v>
      </c>
      <c r="L35" s="112" t="e">
        <f t="shared" si="41"/>
        <v>#DIV/0!</v>
      </c>
      <c r="M35" s="112" t="e">
        <f t="shared" si="41"/>
        <v>#DIV/0!</v>
      </c>
      <c r="N35" s="112" t="e">
        <f t="shared" si="41"/>
        <v>#DIV/0!</v>
      </c>
      <c r="O35" s="112" t="e">
        <f t="shared" si="41"/>
        <v>#DIV/0!</v>
      </c>
      <c r="P35" s="112" t="e">
        <f t="shared" si="41"/>
        <v>#DIV/0!</v>
      </c>
      <c r="Q35" s="112" t="e">
        <f t="shared" si="41"/>
        <v>#DIV/0!</v>
      </c>
      <c r="R35" s="112" t="e">
        <f t="shared" si="41"/>
        <v>#DIV/0!</v>
      </c>
      <c r="S35" s="112" t="e">
        <f t="shared" si="41"/>
        <v>#DIV/0!</v>
      </c>
      <c r="T35" s="112" t="e">
        <f t="shared" si="41"/>
        <v>#DIV/0!</v>
      </c>
      <c r="U35" s="112" t="e">
        <f t="shared" si="41"/>
        <v>#DIV/0!</v>
      </c>
      <c r="V35" s="112" t="e">
        <f t="shared" si="41"/>
        <v>#DIV/0!</v>
      </c>
      <c r="W35" s="112" t="e">
        <f t="shared" si="41"/>
        <v>#DIV/0!</v>
      </c>
      <c r="X35" s="112" t="e">
        <f t="shared" si="41"/>
        <v>#DIV/0!</v>
      </c>
      <c r="Y35" s="112" t="e">
        <f t="shared" si="41"/>
        <v>#DIV/0!</v>
      </c>
      <c r="Z35" s="112" t="e">
        <f t="shared" si="41"/>
        <v>#DIV/0!</v>
      </c>
      <c r="AA35" s="112" t="e">
        <f t="shared" si="41"/>
        <v>#DIV/0!</v>
      </c>
      <c r="AB35" s="123" t="e">
        <f t="shared" si="41"/>
        <v>#DIV/0!</v>
      </c>
      <c r="AC35" s="123" t="e">
        <f t="shared" si="41"/>
        <v>#DIV/0!</v>
      </c>
      <c r="AD35" s="123" t="e">
        <f t="shared" si="41"/>
        <v>#DIV/0!</v>
      </c>
      <c r="AE35" s="123" t="e">
        <f t="shared" si="41"/>
        <v>#DIV/0!</v>
      </c>
      <c r="AF35" s="123" t="e">
        <f t="shared" si="41"/>
        <v>#DIV/0!</v>
      </c>
      <c r="AG35" s="123" t="e">
        <f t="shared" si="41"/>
        <v>#DIV/0!</v>
      </c>
      <c r="AH35" s="123" t="e">
        <f t="shared" si="41"/>
        <v>#DIV/0!</v>
      </c>
      <c r="AI35" s="123" t="e">
        <f t="shared" si="41"/>
        <v>#DIV/0!</v>
      </c>
      <c r="AJ35" s="124" t="e">
        <f t="shared" si="41"/>
        <v>#DIV/0!</v>
      </c>
      <c r="AK35" s="114">
        <f t="shared" si="41"/>
        <v>213.28812675229835</v>
      </c>
      <c r="AL35" s="114">
        <f t="shared" si="41"/>
        <v>221.29750982961994</v>
      </c>
      <c r="AM35" s="114">
        <f>(AM33/AM34)</f>
        <v>221.06189895706353</v>
      </c>
      <c r="AN35" s="114">
        <f>(AN33/AN34)</f>
        <v>204.39504925486233</v>
      </c>
      <c r="AO35" s="114">
        <f>(AO33/AO34)</f>
        <v>219.64215234837519</v>
      </c>
      <c r="AP35" s="114">
        <f>(AP33/AP34)</f>
        <v>222.59757297474584</v>
      </c>
      <c r="AQ35" s="114">
        <f t="shared" ref="AQ35:AX35" si="42">(AQ33/AQ34)</f>
        <v>235.72274881516589</v>
      </c>
      <c r="AR35" s="114">
        <f t="shared" si="42"/>
        <v>238.35652750165673</v>
      </c>
      <c r="AS35" s="114">
        <f t="shared" si="42"/>
        <v>303.15206366544436</v>
      </c>
      <c r="AT35" s="114">
        <f t="shared" si="42"/>
        <v>303.73824512318339</v>
      </c>
      <c r="AU35" s="114">
        <f t="shared" si="42"/>
        <v>297.86049237983588</v>
      </c>
      <c r="AV35" s="115">
        <f t="shared" si="42"/>
        <v>324.44426675195905</v>
      </c>
      <c r="AW35" s="116">
        <f t="shared" si="42"/>
        <v>329.37794040773656</v>
      </c>
      <c r="AX35" s="115">
        <f t="shared" si="42"/>
        <v>342.26694107782606</v>
      </c>
      <c r="AY35" s="116">
        <f>(AY33/AY34)</f>
        <v>279.53955135773316</v>
      </c>
      <c r="AZ35" s="114">
        <f>(AZ33/AZ34)</f>
        <v>283.94541679026992</v>
      </c>
      <c r="BA35" s="116">
        <f>((BA33-5042)/BA34)</f>
        <v>290.88126514475198</v>
      </c>
      <c r="BB35" s="114">
        <f>((BB33-5451)/BB34)</f>
        <v>304.37151296357075</v>
      </c>
      <c r="BC35" s="116">
        <f>BC33/BC34</f>
        <v>290.61430693439627</v>
      </c>
      <c r="BD35" s="114">
        <f>BD33/BD34</f>
        <v>284.11219020325848</v>
      </c>
      <c r="BE35" s="116">
        <f>BE33/BE34</f>
        <v>278.90811004155063</v>
      </c>
      <c r="BF35" s="115">
        <f>BF33/BF34</f>
        <v>280.80013348393061</v>
      </c>
      <c r="BG35" s="116">
        <f t="shared" si="41"/>
        <v>263.3056055078867</v>
      </c>
      <c r="BH35" s="115">
        <f t="shared" si="41"/>
        <v>277.77719001269571</v>
      </c>
      <c r="BI35" s="116">
        <f>(BI33/BI34)</f>
        <v>274.41894465894467</v>
      </c>
      <c r="BJ35" s="184">
        <f>(BJ33/BJ34)</f>
        <v>256.3899969315741</v>
      </c>
      <c r="BK35" s="185">
        <f>(BK33/BK34)</f>
        <v>270.13673567645645</v>
      </c>
      <c r="BL35" s="160" t="e">
        <f>(BL33/BL34)</f>
        <v>#DIV/0!</v>
      </c>
      <c r="BM35" s="106"/>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row>
    <row r="36" spans="1:328" s="29" customFormat="1">
      <c r="A36" s="15" t="s">
        <v>9</v>
      </c>
      <c r="B36" s="15"/>
      <c r="C36" s="28"/>
      <c r="D36" s="28"/>
      <c r="E36" s="28"/>
      <c r="F36" s="28"/>
      <c r="G36" s="28"/>
      <c r="H36" s="28"/>
      <c r="I36" s="28"/>
      <c r="J36" s="28"/>
      <c r="K36" s="28"/>
      <c r="L36" s="28"/>
      <c r="AV36" s="77"/>
      <c r="AW36" s="78"/>
      <c r="AX36" s="77"/>
      <c r="AY36" s="78"/>
      <c r="BA36" s="78"/>
      <c r="BC36" s="78"/>
      <c r="BE36" s="78"/>
      <c r="BF36" s="77"/>
      <c r="BG36" s="78"/>
      <c r="BH36" s="77"/>
      <c r="BI36" s="78"/>
      <c r="BJ36" s="200"/>
      <c r="BK36" s="201"/>
      <c r="BL36" s="147"/>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row>
    <row r="37" spans="1:328" s="17" customFormat="1" ht="9.75" customHeight="1">
      <c r="A37" s="59" t="s">
        <v>24</v>
      </c>
      <c r="B37" s="30"/>
      <c r="AJ37" s="19"/>
      <c r="AK37" s="19"/>
      <c r="AL37" s="19"/>
      <c r="AM37" s="19"/>
      <c r="AN37" s="19"/>
      <c r="AO37" s="19"/>
      <c r="AP37" s="19"/>
      <c r="AQ37" s="19"/>
      <c r="AR37" s="19"/>
      <c r="AS37" s="19"/>
      <c r="AT37" s="19"/>
      <c r="AU37" s="19"/>
      <c r="AV37" s="71"/>
      <c r="AW37" s="72"/>
      <c r="AX37" s="71"/>
      <c r="AY37" s="72"/>
      <c r="AZ37" s="19"/>
      <c r="BA37" s="72"/>
      <c r="BB37" s="19"/>
      <c r="BC37" s="72"/>
      <c r="BD37" s="19"/>
      <c r="BE37" s="72"/>
      <c r="BF37" s="71"/>
      <c r="BG37" s="72"/>
      <c r="BH37" s="71"/>
      <c r="BI37" s="72"/>
      <c r="BJ37" s="194"/>
      <c r="BK37" s="195"/>
      <c r="BL37" s="143"/>
      <c r="BM37" s="19"/>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row>
    <row r="38" spans="1:328" s="105" customFormat="1" ht="9" customHeight="1">
      <c r="A38" s="104"/>
      <c r="B38" s="104" t="s">
        <v>17</v>
      </c>
      <c r="C38" s="105">
        <v>64626</v>
      </c>
      <c r="D38" s="105">
        <v>57704</v>
      </c>
      <c r="E38" s="105">
        <v>64092</v>
      </c>
      <c r="F38" s="105">
        <v>56542</v>
      </c>
      <c r="G38" s="105">
        <v>62275</v>
      </c>
      <c r="H38" s="105">
        <v>55152</v>
      </c>
      <c r="I38" s="105">
        <v>62657</v>
      </c>
      <c r="J38" s="105">
        <v>54030</v>
      </c>
      <c r="K38" s="105">
        <v>60771</v>
      </c>
      <c r="L38" s="105">
        <v>52119</v>
      </c>
      <c r="M38" s="105">
        <v>57911</v>
      </c>
      <c r="N38" s="105">
        <v>48809</v>
      </c>
      <c r="O38" s="105">
        <v>55656</v>
      </c>
      <c r="P38" s="105">
        <v>48815</v>
      </c>
      <c r="Q38" s="105">
        <v>55788</v>
      </c>
      <c r="R38" s="105">
        <v>49039</v>
      </c>
      <c r="S38" s="105">
        <v>56578</v>
      </c>
      <c r="T38" s="105">
        <v>49127</v>
      </c>
      <c r="U38" s="105">
        <v>55615</v>
      </c>
      <c r="V38" s="105">
        <v>54584</v>
      </c>
      <c r="W38" s="105">
        <v>55722</v>
      </c>
      <c r="X38" s="105">
        <v>52754</v>
      </c>
      <c r="Y38" s="105">
        <v>55952</v>
      </c>
      <c r="Z38" s="105">
        <v>54128</v>
      </c>
      <c r="AA38" s="105">
        <v>58157</v>
      </c>
      <c r="AB38" s="105">
        <v>57101</v>
      </c>
      <c r="AC38" s="105">
        <v>59217</v>
      </c>
      <c r="AD38" s="105">
        <v>56460</v>
      </c>
      <c r="AE38" s="105">
        <v>59799</v>
      </c>
      <c r="AF38" s="105">
        <v>55961</v>
      </c>
      <c r="AG38" s="105">
        <v>61771</v>
      </c>
      <c r="AH38" s="105">
        <v>56774</v>
      </c>
      <c r="AI38" s="106">
        <v>59125</v>
      </c>
      <c r="AJ38" s="106">
        <v>55702</v>
      </c>
      <c r="AK38" s="106">
        <v>59448</v>
      </c>
      <c r="AL38" s="106">
        <v>56314</v>
      </c>
      <c r="AM38" s="106">
        <v>58908</v>
      </c>
      <c r="AN38" s="106">
        <v>54168</v>
      </c>
      <c r="AO38" s="106">
        <v>59258</v>
      </c>
      <c r="AP38" s="106">
        <v>54463</v>
      </c>
      <c r="AQ38" s="106">
        <v>57100</v>
      </c>
      <c r="AR38" s="106">
        <v>56692</v>
      </c>
      <c r="AS38" s="106">
        <v>59117</v>
      </c>
      <c r="AT38" s="106">
        <v>57362</v>
      </c>
      <c r="AU38" s="106">
        <v>62191</v>
      </c>
      <c r="AV38" s="107">
        <v>56041</v>
      </c>
      <c r="AW38" s="108">
        <v>63296</v>
      </c>
      <c r="AX38" s="107">
        <v>58765</v>
      </c>
      <c r="AY38" s="108">
        <v>64913</v>
      </c>
      <c r="AZ38" s="106">
        <v>61463</v>
      </c>
      <c r="BA38" s="108">
        <v>67841</v>
      </c>
      <c r="BB38" s="106">
        <v>64545</v>
      </c>
      <c r="BC38" s="108">
        <v>73631.360000000001</v>
      </c>
      <c r="BD38" s="106">
        <v>69304.760000000009</v>
      </c>
      <c r="BE38" s="108">
        <v>74650.100000000006</v>
      </c>
      <c r="BF38" s="107">
        <v>67292.03</v>
      </c>
      <c r="BG38" s="108">
        <v>78194.209999999992</v>
      </c>
      <c r="BH38" s="107">
        <v>72530</v>
      </c>
      <c r="BI38" s="108">
        <v>75878.05</v>
      </c>
      <c r="BJ38" s="190">
        <v>65348.959999999999</v>
      </c>
      <c r="BK38" s="191">
        <v>70108.89</v>
      </c>
      <c r="BL38" s="141"/>
      <c r="BM38" s="106"/>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row>
    <row r="39" spans="1:328" s="105" customFormat="1" ht="9" customHeight="1">
      <c r="A39" s="109"/>
      <c r="B39" s="109" t="s">
        <v>20</v>
      </c>
      <c r="C39" s="95">
        <v>301.49</v>
      </c>
      <c r="D39" s="95">
        <v>303.38</v>
      </c>
      <c r="E39" s="95">
        <v>304.3</v>
      </c>
      <c r="F39" s="95">
        <v>293.5</v>
      </c>
      <c r="G39" s="95">
        <v>296.33999999999997</v>
      </c>
      <c r="H39" s="95">
        <v>287.77999999999997</v>
      </c>
      <c r="I39" s="95">
        <v>269.14999999999998</v>
      </c>
      <c r="J39" s="95">
        <v>272.26</v>
      </c>
      <c r="K39" s="95">
        <v>267.73</v>
      </c>
      <c r="L39" s="95">
        <v>257.24</v>
      </c>
      <c r="M39" s="95">
        <v>273.32</v>
      </c>
      <c r="N39" s="95">
        <v>258.99</v>
      </c>
      <c r="O39" s="95">
        <v>272.97000000000003</v>
      </c>
      <c r="P39" s="95">
        <v>263.3</v>
      </c>
      <c r="Q39" s="95">
        <v>267.11</v>
      </c>
      <c r="R39" s="95">
        <v>255.7</v>
      </c>
      <c r="S39" s="95">
        <v>279.77999999999997</v>
      </c>
      <c r="T39" s="95">
        <v>247.89</v>
      </c>
      <c r="U39" s="95">
        <v>279.87</v>
      </c>
      <c r="V39" s="95">
        <v>267.70999999999998</v>
      </c>
      <c r="W39" s="95">
        <v>282.85000000000002</v>
      </c>
      <c r="X39" s="95">
        <v>261.55</v>
      </c>
      <c r="Y39" s="95">
        <v>278.16000000000003</v>
      </c>
      <c r="Z39" s="95">
        <v>267.89999999999998</v>
      </c>
      <c r="AA39" s="95">
        <v>276.95</v>
      </c>
      <c r="AB39" s="95">
        <v>280.3</v>
      </c>
      <c r="AC39" s="95">
        <v>265.74</v>
      </c>
      <c r="AD39" s="95">
        <v>265.27999999999997</v>
      </c>
      <c r="AE39" s="95">
        <v>262.7</v>
      </c>
      <c r="AF39" s="95">
        <v>262.74</v>
      </c>
      <c r="AG39" s="95">
        <v>269.3</v>
      </c>
      <c r="AH39" s="95">
        <v>256.99</v>
      </c>
      <c r="AI39" s="96">
        <v>257.14999999999998</v>
      </c>
      <c r="AJ39" s="96">
        <v>253.27</v>
      </c>
      <c r="AK39" s="96">
        <v>261.56</v>
      </c>
      <c r="AL39" s="96">
        <v>255.96</v>
      </c>
      <c r="AM39" s="96">
        <v>266.60000000000002</v>
      </c>
      <c r="AN39" s="96">
        <v>254.54</v>
      </c>
      <c r="AO39" s="96">
        <v>255.91</v>
      </c>
      <c r="AP39" s="96">
        <v>250.88</v>
      </c>
      <c r="AQ39" s="96">
        <v>245.79</v>
      </c>
      <c r="AR39" s="96">
        <v>242.66</v>
      </c>
      <c r="AS39" s="96">
        <v>222.79</v>
      </c>
      <c r="AT39" s="96">
        <v>220.17</v>
      </c>
      <c r="AU39" s="96">
        <v>224.21</v>
      </c>
      <c r="AV39" s="110">
        <v>229.02</v>
      </c>
      <c r="AW39" s="111">
        <v>236.85</v>
      </c>
      <c r="AX39" s="110">
        <v>232.58</v>
      </c>
      <c r="AY39" s="111">
        <v>246.55</v>
      </c>
      <c r="AZ39" s="96">
        <v>244.95</v>
      </c>
      <c r="BA39" s="111">
        <v>255.09</v>
      </c>
      <c r="BB39" s="96">
        <v>249</v>
      </c>
      <c r="BC39" s="111">
        <v>281.52499999999998</v>
      </c>
      <c r="BD39" s="96">
        <v>283.84200000000004</v>
      </c>
      <c r="BE39" s="111">
        <v>267.04410000000001</v>
      </c>
      <c r="BF39" s="110">
        <v>263.52</v>
      </c>
      <c r="BG39" s="111">
        <v>295.71000000000004</v>
      </c>
      <c r="BH39" s="110">
        <v>296.14</v>
      </c>
      <c r="BI39" s="111">
        <v>294.44</v>
      </c>
      <c r="BJ39" s="192">
        <v>288.23</v>
      </c>
      <c r="BK39" s="193">
        <v>276.41000000000003</v>
      </c>
      <c r="BL39" s="142"/>
      <c r="BM39" s="106"/>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row>
    <row r="40" spans="1:328" s="105" customFormat="1" ht="9" customHeight="1">
      <c r="A40" s="104"/>
      <c r="B40" s="104" t="s">
        <v>18</v>
      </c>
      <c r="C40" s="105">
        <f>(C38/C39)</f>
        <v>214.35536833725828</v>
      </c>
      <c r="D40" s="105">
        <f t="shared" ref="D40:AF40" si="43">(D38/D39)</f>
        <v>190.2037049245171</v>
      </c>
      <c r="E40" s="105">
        <f t="shared" si="43"/>
        <v>210.62109760105159</v>
      </c>
      <c r="F40" s="105">
        <f t="shared" si="43"/>
        <v>192.64735945485521</v>
      </c>
      <c r="G40" s="105">
        <f t="shared" si="43"/>
        <v>210.14712829857598</v>
      </c>
      <c r="H40" s="105">
        <f t="shared" si="43"/>
        <v>191.6463965529224</v>
      </c>
      <c r="I40" s="105">
        <f t="shared" si="43"/>
        <v>232.7958387516255</v>
      </c>
      <c r="J40" s="105">
        <f t="shared" si="43"/>
        <v>198.45001101887902</v>
      </c>
      <c r="K40" s="105">
        <f t="shared" si="43"/>
        <v>226.98614275576139</v>
      </c>
      <c r="L40" s="105">
        <f t="shared" si="43"/>
        <v>202.60845902658994</v>
      </c>
      <c r="M40" s="105">
        <f t="shared" si="43"/>
        <v>211.87984779745355</v>
      </c>
      <c r="N40" s="105">
        <f t="shared" si="43"/>
        <v>188.45901386153906</v>
      </c>
      <c r="O40" s="105">
        <f t="shared" si="43"/>
        <v>203.89053742169466</v>
      </c>
      <c r="P40" s="105">
        <f t="shared" si="43"/>
        <v>185.39688568173185</v>
      </c>
      <c r="Q40" s="105">
        <f t="shared" si="43"/>
        <v>208.85777395080677</v>
      </c>
      <c r="R40" s="105">
        <f t="shared" si="43"/>
        <v>191.78333985138835</v>
      </c>
      <c r="S40" s="105">
        <f t="shared" si="43"/>
        <v>202.22317535206236</v>
      </c>
      <c r="T40" s="105">
        <f t="shared" si="43"/>
        <v>198.18064464076809</v>
      </c>
      <c r="U40" s="105">
        <f t="shared" si="43"/>
        <v>198.71726158573622</v>
      </c>
      <c r="V40" s="105">
        <f t="shared" si="43"/>
        <v>203.89227148780398</v>
      </c>
      <c r="W40" s="105">
        <f t="shared" si="43"/>
        <v>197.0019444935478</v>
      </c>
      <c r="X40" s="105">
        <f t="shared" si="43"/>
        <v>201.69757216593385</v>
      </c>
      <c r="Y40" s="105">
        <f t="shared" si="43"/>
        <v>201.15041702617197</v>
      </c>
      <c r="Z40" s="105">
        <f t="shared" si="43"/>
        <v>202.04553938036582</v>
      </c>
      <c r="AA40" s="105">
        <f t="shared" si="43"/>
        <v>209.99097309983753</v>
      </c>
      <c r="AB40" s="105">
        <f t="shared" si="43"/>
        <v>203.71387798787012</v>
      </c>
      <c r="AC40" s="105">
        <f t="shared" si="43"/>
        <v>222.83811244073152</v>
      </c>
      <c r="AD40" s="105">
        <f t="shared" si="43"/>
        <v>212.83172496984321</v>
      </c>
      <c r="AE40" s="105">
        <f t="shared" si="43"/>
        <v>227.63228016749144</v>
      </c>
      <c r="AF40" s="105">
        <f t="shared" si="43"/>
        <v>212.99002816472557</v>
      </c>
      <c r="AG40" s="105">
        <f>(AG38/AG39)</f>
        <v>229.37616041589305</v>
      </c>
      <c r="AH40" s="105">
        <f>(AH38/AH39)</f>
        <v>220.91910191058017</v>
      </c>
      <c r="AI40" s="106">
        <f t="shared" ref="AI40:AN40" si="44">(AI38/AI39)</f>
        <v>229.92416877308966</v>
      </c>
      <c r="AJ40" s="106">
        <f t="shared" si="44"/>
        <v>219.9312986141272</v>
      </c>
      <c r="AK40" s="106">
        <f t="shared" si="44"/>
        <v>227.28245909160421</v>
      </c>
      <c r="AL40" s="106">
        <f t="shared" si="44"/>
        <v>220.01093920925143</v>
      </c>
      <c r="AM40" s="106">
        <f t="shared" si="44"/>
        <v>220.960240060015</v>
      </c>
      <c r="AN40" s="106">
        <f t="shared" si="44"/>
        <v>212.80741730179932</v>
      </c>
      <c r="AO40" s="106">
        <f t="shared" ref="AO40:BD40" si="45">(AO38/AO39)</f>
        <v>231.55796959868704</v>
      </c>
      <c r="AP40" s="106">
        <f t="shared" si="45"/>
        <v>217.08785076530611</v>
      </c>
      <c r="AQ40" s="106">
        <f t="shared" si="45"/>
        <v>232.31213637658163</v>
      </c>
      <c r="AR40" s="106">
        <f t="shared" si="45"/>
        <v>233.62729745322673</v>
      </c>
      <c r="AS40" s="106">
        <f t="shared" si="45"/>
        <v>265.3485344943669</v>
      </c>
      <c r="AT40" s="106">
        <f t="shared" si="45"/>
        <v>260.53504110460102</v>
      </c>
      <c r="AU40" s="106">
        <f t="shared" si="45"/>
        <v>277.37835065340528</v>
      </c>
      <c r="AV40" s="107">
        <f t="shared" si="45"/>
        <v>244.69915291240937</v>
      </c>
      <c r="AW40" s="108">
        <f t="shared" si="45"/>
        <v>267.24086974878617</v>
      </c>
      <c r="AX40" s="107">
        <f t="shared" si="45"/>
        <v>252.66574941955454</v>
      </c>
      <c r="AY40" s="108">
        <f t="shared" si="45"/>
        <v>263.28533765970388</v>
      </c>
      <c r="AZ40" s="106">
        <f t="shared" si="45"/>
        <v>250.92059604000818</v>
      </c>
      <c r="BA40" s="108">
        <f t="shared" si="45"/>
        <v>265.9492728056764</v>
      </c>
      <c r="BB40" s="106">
        <f t="shared" si="45"/>
        <v>259.2168674698795</v>
      </c>
      <c r="BC40" s="108">
        <f t="shared" si="45"/>
        <v>261.5446585560785</v>
      </c>
      <c r="BD40" s="106">
        <f t="shared" si="45"/>
        <v>244.16668428210059</v>
      </c>
      <c r="BE40" s="108">
        <f t="shared" ref="BE40:BL40" si="46">(BE38/BE39)</f>
        <v>279.54221793329265</v>
      </c>
      <c r="BF40" s="107">
        <f t="shared" si="46"/>
        <v>255.35834092289011</v>
      </c>
      <c r="BG40" s="108">
        <f t="shared" si="46"/>
        <v>264.42869703425646</v>
      </c>
      <c r="BH40" s="107">
        <f t="shared" si="46"/>
        <v>244.91794421557373</v>
      </c>
      <c r="BI40" s="108">
        <f>(BI38/BI39)</f>
        <v>257.70292759135987</v>
      </c>
      <c r="BJ40" s="190">
        <f>(BJ38/BJ39)</f>
        <v>226.72504597023209</v>
      </c>
      <c r="BK40" s="191">
        <f>(BK38/BK39)</f>
        <v>253.64093194891643</v>
      </c>
      <c r="BL40" s="141" t="e">
        <f t="shared" si="46"/>
        <v>#DIV/0!</v>
      </c>
      <c r="BM40" s="106"/>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row>
    <row r="41" spans="1:328" s="17" customFormat="1" ht="9.75" customHeight="1">
      <c r="A41" s="59" t="s">
        <v>25</v>
      </c>
      <c r="B41" s="30"/>
      <c r="AI41" s="19"/>
      <c r="AJ41" s="19"/>
      <c r="AK41" s="19"/>
      <c r="AL41" s="19"/>
      <c r="AM41" s="19"/>
      <c r="AN41" s="19"/>
      <c r="AO41" s="19"/>
      <c r="AP41" s="19"/>
      <c r="AQ41" s="19"/>
      <c r="AR41" s="19"/>
      <c r="AS41" s="19"/>
      <c r="AT41" s="19"/>
      <c r="AU41" s="19"/>
      <c r="AV41" s="71"/>
      <c r="AW41" s="72"/>
      <c r="AX41" s="71"/>
      <c r="AY41" s="72"/>
      <c r="AZ41" s="19"/>
      <c r="BA41" s="72"/>
      <c r="BB41" s="19"/>
      <c r="BC41" s="72"/>
      <c r="BD41" s="19"/>
      <c r="BE41" s="72"/>
      <c r="BF41" s="71"/>
      <c r="BG41" s="72"/>
      <c r="BH41" s="71"/>
      <c r="BI41" s="72"/>
      <c r="BJ41" s="194"/>
      <c r="BK41" s="195"/>
      <c r="BL41" s="143"/>
      <c r="BM41" s="19"/>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row>
    <row r="42" spans="1:328" s="105" customFormat="1" ht="9" customHeight="1">
      <c r="A42" s="104"/>
      <c r="B42" s="104" t="s">
        <v>17</v>
      </c>
      <c r="C42" s="105">
        <v>81368</v>
      </c>
      <c r="D42" s="105">
        <v>70491</v>
      </c>
      <c r="E42" s="105">
        <v>82112</v>
      </c>
      <c r="F42" s="105">
        <v>70836</v>
      </c>
      <c r="G42" s="105">
        <v>83333</v>
      </c>
      <c r="H42" s="105">
        <v>70437</v>
      </c>
      <c r="I42" s="105">
        <v>82105</v>
      </c>
      <c r="J42" s="105">
        <v>71166</v>
      </c>
      <c r="K42" s="105">
        <v>81391</v>
      </c>
      <c r="L42" s="105">
        <v>73014</v>
      </c>
      <c r="M42" s="105">
        <v>85444</v>
      </c>
      <c r="N42" s="105">
        <v>74282</v>
      </c>
      <c r="O42" s="105">
        <v>84644</v>
      </c>
      <c r="P42" s="105">
        <v>72532</v>
      </c>
      <c r="Q42" s="105">
        <v>84462</v>
      </c>
      <c r="R42" s="105">
        <v>71679</v>
      </c>
      <c r="S42" s="105">
        <v>84260</v>
      </c>
      <c r="T42" s="105">
        <v>70086</v>
      </c>
      <c r="U42" s="105">
        <v>86914</v>
      </c>
      <c r="V42" s="105">
        <v>73470</v>
      </c>
      <c r="W42" s="105">
        <v>87095</v>
      </c>
      <c r="X42" s="105">
        <v>72792</v>
      </c>
      <c r="Y42" s="105">
        <v>88644</v>
      </c>
      <c r="Z42" s="105">
        <v>72725</v>
      </c>
      <c r="AA42" s="105">
        <v>88739</v>
      </c>
      <c r="AB42" s="105">
        <v>75122</v>
      </c>
      <c r="AC42" s="105">
        <v>91319</v>
      </c>
      <c r="AD42" s="105">
        <v>80884</v>
      </c>
      <c r="AE42" s="105">
        <v>91139</v>
      </c>
      <c r="AF42" s="105">
        <v>78744</v>
      </c>
      <c r="AG42" s="105">
        <v>85923</v>
      </c>
      <c r="AH42" s="105">
        <v>72653</v>
      </c>
      <c r="AI42" s="106">
        <v>83809</v>
      </c>
      <c r="AJ42" s="106">
        <v>68561</v>
      </c>
      <c r="AK42" s="106">
        <v>78895</v>
      </c>
      <c r="AL42" s="106">
        <v>66552</v>
      </c>
      <c r="AM42" s="106">
        <v>75444</v>
      </c>
      <c r="AN42" s="106">
        <v>65125</v>
      </c>
      <c r="AO42" s="106">
        <v>79963</v>
      </c>
      <c r="AP42" s="106">
        <v>70243</v>
      </c>
      <c r="AQ42" s="106">
        <v>84171</v>
      </c>
      <c r="AR42" s="106">
        <v>72340</v>
      </c>
      <c r="AS42" s="106">
        <v>86578</v>
      </c>
      <c r="AT42" s="106">
        <v>75343</v>
      </c>
      <c r="AU42" s="106">
        <v>90228</v>
      </c>
      <c r="AV42" s="107">
        <v>77568</v>
      </c>
      <c r="AW42" s="108">
        <v>95531</v>
      </c>
      <c r="AX42" s="107">
        <v>80562</v>
      </c>
      <c r="AY42" s="108">
        <v>100067</v>
      </c>
      <c r="AZ42" s="106">
        <v>85801</v>
      </c>
      <c r="BA42" s="108">
        <v>109268</v>
      </c>
      <c r="BB42" s="106">
        <v>93390</v>
      </c>
      <c r="BC42" s="108">
        <v>112565.83</v>
      </c>
      <c r="BD42" s="106">
        <v>97620.53</v>
      </c>
      <c r="BE42" s="108">
        <v>117714.17</v>
      </c>
      <c r="BF42" s="107">
        <v>100721.77</v>
      </c>
      <c r="BG42" s="108">
        <v>119157.90000000001</v>
      </c>
      <c r="BH42" s="107">
        <v>99755.139999999985</v>
      </c>
      <c r="BI42" s="108">
        <v>116309.70000000001</v>
      </c>
      <c r="BJ42" s="190">
        <v>96499.32</v>
      </c>
      <c r="BK42" s="191">
        <v>112591.56</v>
      </c>
      <c r="BL42" s="141"/>
      <c r="BM42" s="106"/>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row>
    <row r="43" spans="1:328" s="105" customFormat="1" ht="9" customHeight="1">
      <c r="A43" s="109"/>
      <c r="B43" s="109" t="s">
        <v>20</v>
      </c>
      <c r="C43" s="95">
        <v>388.32</v>
      </c>
      <c r="D43" s="95">
        <v>378.26</v>
      </c>
      <c r="E43" s="95">
        <v>384.33</v>
      </c>
      <c r="F43" s="95">
        <v>374.83</v>
      </c>
      <c r="G43" s="95">
        <v>377.57</v>
      </c>
      <c r="H43" s="95">
        <v>377.41</v>
      </c>
      <c r="I43" s="95">
        <v>352.33</v>
      </c>
      <c r="J43" s="95">
        <v>366.49</v>
      </c>
      <c r="K43" s="95">
        <v>371.38</v>
      </c>
      <c r="L43" s="95">
        <v>372.78</v>
      </c>
      <c r="M43" s="95">
        <v>385.21</v>
      </c>
      <c r="N43" s="95">
        <v>369.82</v>
      </c>
      <c r="O43" s="95">
        <v>386.3</v>
      </c>
      <c r="P43" s="95">
        <v>377.38</v>
      </c>
      <c r="Q43" s="95">
        <v>383.98</v>
      </c>
      <c r="R43" s="95">
        <v>367.66</v>
      </c>
      <c r="S43" s="95">
        <v>376.54</v>
      </c>
      <c r="T43" s="95">
        <v>357.73</v>
      </c>
      <c r="U43" s="95">
        <v>385.08</v>
      </c>
      <c r="V43" s="95">
        <v>360.89</v>
      </c>
      <c r="W43" s="95">
        <v>387.03</v>
      </c>
      <c r="X43" s="95">
        <v>374.8</v>
      </c>
      <c r="Y43" s="95">
        <v>390.73</v>
      </c>
      <c r="Z43" s="95">
        <v>372.48</v>
      </c>
      <c r="AA43" s="95">
        <v>382.15</v>
      </c>
      <c r="AB43" s="95">
        <v>372.72</v>
      </c>
      <c r="AC43" s="95">
        <v>378.46</v>
      </c>
      <c r="AD43" s="95">
        <v>368.6</v>
      </c>
      <c r="AE43" s="95">
        <v>380.92</v>
      </c>
      <c r="AF43" s="95">
        <v>372.86</v>
      </c>
      <c r="AG43" s="95">
        <v>392.31</v>
      </c>
      <c r="AH43" s="95">
        <v>372.38</v>
      </c>
      <c r="AI43" s="96">
        <v>380.63</v>
      </c>
      <c r="AJ43" s="96">
        <v>365.14</v>
      </c>
      <c r="AK43" s="96">
        <v>377.45</v>
      </c>
      <c r="AL43" s="96">
        <v>367.28</v>
      </c>
      <c r="AM43" s="96">
        <v>375.83</v>
      </c>
      <c r="AN43" s="96">
        <v>370.74</v>
      </c>
      <c r="AO43" s="96">
        <v>372.99</v>
      </c>
      <c r="AP43" s="96">
        <v>359.94</v>
      </c>
      <c r="AQ43" s="96">
        <v>396.33</v>
      </c>
      <c r="AR43" s="96">
        <v>371.76</v>
      </c>
      <c r="AS43" s="96">
        <v>357.24</v>
      </c>
      <c r="AT43" s="96">
        <v>351.27</v>
      </c>
      <c r="AU43" s="96">
        <v>387.78</v>
      </c>
      <c r="AV43" s="110">
        <v>370.2</v>
      </c>
      <c r="AW43" s="111">
        <v>404.3</v>
      </c>
      <c r="AX43" s="110">
        <v>389.87</v>
      </c>
      <c r="AY43" s="111">
        <v>424.37</v>
      </c>
      <c r="AZ43" s="96">
        <v>408.5</v>
      </c>
      <c r="BA43" s="111">
        <v>424.58</v>
      </c>
      <c r="BB43" s="96">
        <v>419.54</v>
      </c>
      <c r="BC43" s="111">
        <v>483.166</v>
      </c>
      <c r="BD43" s="96">
        <v>459.79399999999998</v>
      </c>
      <c r="BE43" s="111">
        <v>413.30900000000003</v>
      </c>
      <c r="BF43" s="110">
        <v>439.28</v>
      </c>
      <c r="BG43" s="111">
        <v>502.2</v>
      </c>
      <c r="BH43" s="110">
        <v>471.39</v>
      </c>
      <c r="BI43" s="111">
        <v>516.38</v>
      </c>
      <c r="BJ43" s="192">
        <v>471.6</v>
      </c>
      <c r="BK43" s="193">
        <v>482.86</v>
      </c>
      <c r="BL43" s="142"/>
      <c r="BM43" s="106"/>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row>
    <row r="44" spans="1:328" s="105" customFormat="1" ht="9" customHeight="1">
      <c r="A44" s="104"/>
      <c r="B44" s="104" t="s">
        <v>18</v>
      </c>
      <c r="C44" s="105">
        <f>(C42/C43)</f>
        <v>209.53852492789451</v>
      </c>
      <c r="D44" s="105">
        <f t="shared" ref="D44:AF44" si="47">(D42/D43)</f>
        <v>186.35594564585207</v>
      </c>
      <c r="E44" s="105">
        <f t="shared" si="47"/>
        <v>213.64972809824891</v>
      </c>
      <c r="F44" s="105">
        <f t="shared" si="47"/>
        <v>188.98167169116667</v>
      </c>
      <c r="G44" s="105">
        <f t="shared" si="47"/>
        <v>220.70874274968881</v>
      </c>
      <c r="H44" s="105">
        <f t="shared" si="47"/>
        <v>186.63257465355977</v>
      </c>
      <c r="I44" s="105">
        <f t="shared" si="47"/>
        <v>233.03437118610395</v>
      </c>
      <c r="J44" s="105">
        <f t="shared" si="47"/>
        <v>194.18265164124531</v>
      </c>
      <c r="K44" s="105">
        <f t="shared" si="47"/>
        <v>219.15827454359416</v>
      </c>
      <c r="L44" s="105">
        <f t="shared" si="47"/>
        <v>195.86351199098667</v>
      </c>
      <c r="M44" s="105">
        <f t="shared" si="47"/>
        <v>221.81147945276604</v>
      </c>
      <c r="N44" s="105">
        <f t="shared" si="47"/>
        <v>200.85987777837869</v>
      </c>
      <c r="O44" s="105">
        <f t="shared" si="47"/>
        <v>219.11467771162307</v>
      </c>
      <c r="P44" s="105">
        <f t="shared" si="47"/>
        <v>192.19884466585404</v>
      </c>
      <c r="Q44" s="105">
        <f t="shared" si="47"/>
        <v>219.96458148861919</v>
      </c>
      <c r="R44" s="105">
        <f t="shared" si="47"/>
        <v>194.96001740738726</v>
      </c>
      <c r="S44" s="105">
        <f t="shared" si="47"/>
        <v>223.77436660115791</v>
      </c>
      <c r="T44" s="105">
        <f t="shared" si="47"/>
        <v>195.91870964134961</v>
      </c>
      <c r="U44" s="105">
        <f t="shared" si="47"/>
        <v>225.70374987015686</v>
      </c>
      <c r="V44" s="105">
        <f t="shared" si="47"/>
        <v>203.58003823879852</v>
      </c>
      <c r="W44" s="105">
        <f t="shared" si="47"/>
        <v>225.03423507221663</v>
      </c>
      <c r="X44" s="105">
        <f t="shared" si="47"/>
        <v>194.2155816435432</v>
      </c>
      <c r="Y44" s="105">
        <f t="shared" si="47"/>
        <v>226.86765797353669</v>
      </c>
      <c r="Z44" s="105">
        <f t="shared" si="47"/>
        <v>195.24538230240549</v>
      </c>
      <c r="AA44" s="105">
        <f t="shared" si="47"/>
        <v>232.20986523616384</v>
      </c>
      <c r="AB44" s="105">
        <f t="shared" si="47"/>
        <v>201.55076196608712</v>
      </c>
      <c r="AC44" s="105">
        <f t="shared" si="47"/>
        <v>241.29102150821754</v>
      </c>
      <c r="AD44" s="105">
        <f t="shared" si="47"/>
        <v>219.43570265870861</v>
      </c>
      <c r="AE44" s="105">
        <f t="shared" si="47"/>
        <v>239.26021211803001</v>
      </c>
      <c r="AF44" s="105">
        <f t="shared" si="47"/>
        <v>211.18918628976022</v>
      </c>
      <c r="AG44" s="105">
        <f t="shared" ref="AG44:AL44" si="48">(AG42/AG43)</f>
        <v>219.0181234228034</v>
      </c>
      <c r="AH44" s="105">
        <f t="shared" si="48"/>
        <v>195.1044631827703</v>
      </c>
      <c r="AI44" s="106">
        <f t="shared" si="48"/>
        <v>220.1849565194546</v>
      </c>
      <c r="AJ44" s="106">
        <f t="shared" si="48"/>
        <v>187.76633619981376</v>
      </c>
      <c r="AK44" s="106">
        <f t="shared" si="48"/>
        <v>209.02106239236986</v>
      </c>
      <c r="AL44" s="106">
        <f t="shared" si="48"/>
        <v>181.2023524286648</v>
      </c>
      <c r="AM44" s="106">
        <f>(AM42/AM43)</f>
        <v>200.73969613921187</v>
      </c>
      <c r="AN44" s="106">
        <f>(AN42/AN43)</f>
        <v>175.66218913524301</v>
      </c>
      <c r="AO44" s="106">
        <f>(AO42/AO43)</f>
        <v>214.38376363977585</v>
      </c>
      <c r="AP44" s="106">
        <f>(AP42/AP43)</f>
        <v>195.1519697727399</v>
      </c>
      <c r="AQ44" s="106">
        <f t="shared" ref="AQ44:AX44" si="49">(AQ42/AQ43)</f>
        <v>212.37605026114602</v>
      </c>
      <c r="AR44" s="106">
        <f t="shared" si="49"/>
        <v>194.58790617602756</v>
      </c>
      <c r="AS44" s="106">
        <f t="shared" si="49"/>
        <v>242.35248012540589</v>
      </c>
      <c r="AT44" s="106">
        <f t="shared" si="49"/>
        <v>214.48743132063655</v>
      </c>
      <c r="AU44" s="106">
        <f t="shared" si="49"/>
        <v>232.67832276032803</v>
      </c>
      <c r="AV44" s="107">
        <f t="shared" si="49"/>
        <v>209.52998379254458</v>
      </c>
      <c r="AW44" s="108">
        <f t="shared" si="49"/>
        <v>236.28741033885728</v>
      </c>
      <c r="AX44" s="107">
        <f t="shared" si="49"/>
        <v>206.63811013927719</v>
      </c>
      <c r="AY44" s="108">
        <f t="shared" ref="AY44:BF44" si="50">(AY42/AY43)</f>
        <v>235.80130546457102</v>
      </c>
      <c r="AZ44" s="106">
        <f t="shared" si="50"/>
        <v>210.03916768665852</v>
      </c>
      <c r="BA44" s="108">
        <f t="shared" si="50"/>
        <v>257.35550426303644</v>
      </c>
      <c r="BB44" s="106">
        <f t="shared" si="50"/>
        <v>222.60094389092814</v>
      </c>
      <c r="BC44" s="108">
        <f>(BC42/BC43)</f>
        <v>232.97547840700713</v>
      </c>
      <c r="BD44" s="106">
        <f>(BD42/BD43)</f>
        <v>212.31362305728217</v>
      </c>
      <c r="BE44" s="108">
        <f t="shared" si="50"/>
        <v>284.80911376234246</v>
      </c>
      <c r="BF44" s="107">
        <f t="shared" si="50"/>
        <v>229.28831269349848</v>
      </c>
      <c r="BG44" s="108">
        <f t="shared" ref="BG44:BL44" si="51">(BG42/BG43)</f>
        <v>237.27180406212668</v>
      </c>
      <c r="BH44" s="107">
        <f t="shared" si="51"/>
        <v>211.61912641337318</v>
      </c>
      <c r="BI44" s="108">
        <f t="shared" si="51"/>
        <v>225.24052054688411</v>
      </c>
      <c r="BJ44" s="202">
        <f t="shared" si="51"/>
        <v>204.62111959287532</v>
      </c>
      <c r="BK44" s="191">
        <f t="shared" si="51"/>
        <v>233.17640724019384</v>
      </c>
      <c r="BL44" s="148" t="e">
        <f t="shared" si="51"/>
        <v>#DIV/0!</v>
      </c>
      <c r="BM44" s="106"/>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row>
    <row r="45" spans="1:328" s="17" customFormat="1" ht="9.75" customHeight="1">
      <c r="A45" s="60" t="s">
        <v>26</v>
      </c>
      <c r="B45" s="18"/>
      <c r="AI45" s="19"/>
      <c r="AJ45" s="19"/>
      <c r="AK45" s="19"/>
      <c r="AL45" s="19"/>
      <c r="AM45" s="19"/>
      <c r="AN45" s="19"/>
      <c r="AO45" s="19"/>
      <c r="AP45" s="19"/>
      <c r="AQ45" s="19"/>
      <c r="AR45" s="19"/>
      <c r="AS45" s="19"/>
      <c r="AT45" s="19"/>
      <c r="AU45" s="19"/>
      <c r="AV45" s="71"/>
      <c r="AW45" s="72"/>
      <c r="AX45" s="71"/>
      <c r="AY45" s="72"/>
      <c r="AZ45" s="19"/>
      <c r="BA45" s="72"/>
      <c r="BB45" s="19"/>
      <c r="BC45" s="72"/>
      <c r="BD45" s="19"/>
      <c r="BE45" s="72"/>
      <c r="BF45" s="71"/>
      <c r="BG45" s="72"/>
      <c r="BH45" s="71"/>
      <c r="BI45" s="72"/>
      <c r="BJ45" s="194"/>
      <c r="BK45" s="195"/>
      <c r="BL45" s="143"/>
      <c r="BM45" s="19"/>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row>
    <row r="46" spans="1:328" s="105" customFormat="1" ht="9" customHeight="1">
      <c r="A46" s="104"/>
      <c r="B46" s="104" t="s">
        <v>17</v>
      </c>
      <c r="C46" s="105">
        <v>43313</v>
      </c>
      <c r="D46" s="105">
        <v>41156</v>
      </c>
      <c r="E46" s="105">
        <v>43739</v>
      </c>
      <c r="F46" s="105">
        <v>42531</v>
      </c>
      <c r="G46" s="105">
        <v>43094</v>
      </c>
      <c r="H46" s="105">
        <v>41272</v>
      </c>
      <c r="I46" s="105">
        <v>42174</v>
      </c>
      <c r="J46" s="105">
        <v>41535</v>
      </c>
      <c r="K46" s="105">
        <v>41195</v>
      </c>
      <c r="L46" s="105">
        <v>40880</v>
      </c>
      <c r="M46" s="105">
        <v>39851</v>
      </c>
      <c r="N46" s="105">
        <v>39180</v>
      </c>
      <c r="O46" s="105">
        <v>38484</v>
      </c>
      <c r="P46" s="105">
        <v>36704</v>
      </c>
      <c r="Q46" s="105">
        <v>36826</v>
      </c>
      <c r="R46" s="105">
        <v>34882</v>
      </c>
      <c r="S46" s="105">
        <v>36949</v>
      </c>
      <c r="T46" s="105">
        <v>35555</v>
      </c>
      <c r="U46" s="105">
        <v>38501</v>
      </c>
      <c r="V46" s="105">
        <v>35086</v>
      </c>
      <c r="W46" s="105">
        <v>36672</v>
      </c>
      <c r="X46" s="105">
        <v>35291</v>
      </c>
      <c r="Y46" s="105">
        <v>37935</v>
      </c>
      <c r="Z46" s="105">
        <v>34732</v>
      </c>
      <c r="AA46" s="105">
        <v>40050</v>
      </c>
      <c r="AB46" s="105">
        <v>38041</v>
      </c>
      <c r="AC46" s="105">
        <v>44164</v>
      </c>
      <c r="AD46" s="105">
        <v>41970</v>
      </c>
      <c r="AE46" s="105">
        <v>45339</v>
      </c>
      <c r="AF46" s="105">
        <v>39688</v>
      </c>
      <c r="AG46" s="105">
        <v>41540</v>
      </c>
      <c r="AH46" s="105">
        <v>37749</v>
      </c>
      <c r="AI46" s="106">
        <v>40353</v>
      </c>
      <c r="AJ46" s="106">
        <v>33635</v>
      </c>
      <c r="AK46" s="106">
        <v>38114</v>
      </c>
      <c r="AL46" s="106">
        <v>32858</v>
      </c>
      <c r="AM46" s="106">
        <v>37855</v>
      </c>
      <c r="AN46" s="106">
        <v>31839</v>
      </c>
      <c r="AO46" s="106">
        <v>37056</v>
      </c>
      <c r="AP46" s="106">
        <v>32683</v>
      </c>
      <c r="AQ46" s="106">
        <v>40904</v>
      </c>
      <c r="AR46" s="106">
        <v>35368</v>
      </c>
      <c r="AS46" s="106">
        <v>40015</v>
      </c>
      <c r="AT46" s="106">
        <v>35849</v>
      </c>
      <c r="AU46" s="106">
        <v>38789</v>
      </c>
      <c r="AV46" s="107">
        <v>37660</v>
      </c>
      <c r="AW46" s="108">
        <v>42065</v>
      </c>
      <c r="AX46" s="107">
        <v>36538</v>
      </c>
      <c r="AY46" s="108">
        <v>39893</v>
      </c>
      <c r="AZ46" s="106">
        <v>33185</v>
      </c>
      <c r="BA46" s="108">
        <v>41372</v>
      </c>
      <c r="BB46" s="106">
        <v>36512</v>
      </c>
      <c r="BC46" s="108">
        <v>42790.86</v>
      </c>
      <c r="BD46" s="106">
        <v>38241.979999999996</v>
      </c>
      <c r="BE46" s="108">
        <v>44514.239999999998</v>
      </c>
      <c r="BF46" s="107">
        <v>38920.33</v>
      </c>
      <c r="BG46" s="108">
        <v>42294.689999999995</v>
      </c>
      <c r="BH46" s="107">
        <v>36362.51</v>
      </c>
      <c r="BI46" s="108">
        <v>40448.97</v>
      </c>
      <c r="BJ46" s="190">
        <v>35773.11</v>
      </c>
      <c r="BK46" s="191">
        <v>39190.339999999997</v>
      </c>
      <c r="BL46" s="141"/>
      <c r="BM46" s="10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row>
    <row r="47" spans="1:328" s="105" customFormat="1" ht="9" customHeight="1">
      <c r="A47" s="104"/>
      <c r="B47" s="109" t="s">
        <v>20</v>
      </c>
      <c r="C47" s="95">
        <v>119.2</v>
      </c>
      <c r="D47" s="95">
        <v>121.86</v>
      </c>
      <c r="E47" s="95">
        <v>125.82</v>
      </c>
      <c r="F47" s="95">
        <v>127.09</v>
      </c>
      <c r="G47" s="95">
        <v>128.94999999999999</v>
      </c>
      <c r="H47" s="95">
        <v>127.33</v>
      </c>
      <c r="I47" s="95">
        <v>124.38</v>
      </c>
      <c r="J47" s="95">
        <v>125.45</v>
      </c>
      <c r="K47" s="95">
        <v>121.78</v>
      </c>
      <c r="L47" s="95">
        <v>123.05</v>
      </c>
      <c r="M47" s="95">
        <v>121.55</v>
      </c>
      <c r="N47" s="95">
        <v>124.75</v>
      </c>
      <c r="O47" s="95">
        <v>120.7</v>
      </c>
      <c r="P47" s="95">
        <v>121.19</v>
      </c>
      <c r="Q47" s="95">
        <v>128.06</v>
      </c>
      <c r="R47" s="95">
        <v>127.85</v>
      </c>
      <c r="S47" s="95">
        <v>127.46</v>
      </c>
      <c r="T47" s="95">
        <v>125.04</v>
      </c>
      <c r="U47" s="95">
        <v>130.47999999999999</v>
      </c>
      <c r="V47" s="95">
        <v>121.05</v>
      </c>
      <c r="W47" s="95">
        <v>131.44999999999999</v>
      </c>
      <c r="X47" s="95">
        <v>125.25</v>
      </c>
      <c r="Y47" s="95">
        <v>128.16</v>
      </c>
      <c r="Z47" s="95">
        <v>132.78</v>
      </c>
      <c r="AA47" s="95">
        <v>134.55000000000001</v>
      </c>
      <c r="AB47" s="95">
        <v>132.22</v>
      </c>
      <c r="AC47" s="95">
        <v>130.08000000000001</v>
      </c>
      <c r="AD47" s="95">
        <v>129.21</v>
      </c>
      <c r="AE47" s="95">
        <v>136.11000000000001</v>
      </c>
      <c r="AF47" s="95">
        <v>134.47</v>
      </c>
      <c r="AG47" s="95">
        <v>140.32</v>
      </c>
      <c r="AH47" s="95">
        <v>135.88</v>
      </c>
      <c r="AI47" s="96">
        <v>135.80000000000001</v>
      </c>
      <c r="AJ47" s="96">
        <v>133.29</v>
      </c>
      <c r="AK47" s="96">
        <v>137.35</v>
      </c>
      <c r="AL47" s="96">
        <v>130.5</v>
      </c>
      <c r="AM47" s="96">
        <v>139.19999999999999</v>
      </c>
      <c r="AN47" s="96">
        <v>135.87</v>
      </c>
      <c r="AO47" s="96">
        <v>137.43</v>
      </c>
      <c r="AP47" s="96">
        <v>134.44999999999999</v>
      </c>
      <c r="AQ47" s="96">
        <v>141.38999999999999</v>
      </c>
      <c r="AR47" s="96">
        <v>136.13</v>
      </c>
      <c r="AS47" s="96">
        <v>126.99</v>
      </c>
      <c r="AT47" s="96">
        <v>127.57</v>
      </c>
      <c r="AU47" s="96">
        <v>129.53</v>
      </c>
      <c r="AV47" s="110">
        <v>127.74</v>
      </c>
      <c r="AW47" s="111">
        <v>127.79</v>
      </c>
      <c r="AX47" s="110">
        <v>127.93</v>
      </c>
      <c r="AY47" s="111">
        <v>127.9</v>
      </c>
      <c r="AZ47" s="96">
        <v>130.33000000000001</v>
      </c>
      <c r="BA47" s="111">
        <v>131.13</v>
      </c>
      <c r="BB47" s="96">
        <v>131.63999999999999</v>
      </c>
      <c r="BC47" s="111">
        <v>135.447</v>
      </c>
      <c r="BD47" s="96">
        <v>134.34899999999999</v>
      </c>
      <c r="BE47" s="111">
        <v>135.90289999999999</v>
      </c>
      <c r="BF47" s="110">
        <v>137.21</v>
      </c>
      <c r="BG47" s="111">
        <v>129.55000000000001</v>
      </c>
      <c r="BH47" s="110">
        <v>128.74</v>
      </c>
      <c r="BI47" s="111">
        <v>132.82</v>
      </c>
      <c r="BJ47" s="192">
        <v>128.41999999999999</v>
      </c>
      <c r="BK47" s="193">
        <v>125.17</v>
      </c>
      <c r="BL47" s="142"/>
      <c r="BM47" s="106"/>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row>
    <row r="48" spans="1:328" s="105" customFormat="1" ht="9" customHeight="1">
      <c r="A48" s="104"/>
      <c r="B48" s="104" t="s">
        <v>18</v>
      </c>
      <c r="C48" s="105">
        <f>(C46/C47)</f>
        <v>363.36409395973152</v>
      </c>
      <c r="D48" s="105">
        <f t="shared" ref="D48:AF48" si="52">(D46/D47)</f>
        <v>337.73182340390611</v>
      </c>
      <c r="E48" s="105">
        <f t="shared" si="52"/>
        <v>347.63153711651569</v>
      </c>
      <c r="F48" s="105">
        <f t="shared" si="52"/>
        <v>334.65260838775669</v>
      </c>
      <c r="G48" s="105">
        <f t="shared" si="52"/>
        <v>334.19154711128346</v>
      </c>
      <c r="H48" s="105">
        <f t="shared" si="52"/>
        <v>324.13413963716329</v>
      </c>
      <c r="I48" s="105">
        <f t="shared" si="52"/>
        <v>339.07380607814764</v>
      </c>
      <c r="J48" s="105">
        <f t="shared" si="52"/>
        <v>331.0880829015544</v>
      </c>
      <c r="K48" s="105">
        <f t="shared" si="52"/>
        <v>338.27393660699624</v>
      </c>
      <c r="L48" s="105">
        <f t="shared" si="52"/>
        <v>332.22267370987402</v>
      </c>
      <c r="M48" s="105">
        <f t="shared" si="52"/>
        <v>327.85684903331963</v>
      </c>
      <c r="N48" s="105">
        <f t="shared" si="52"/>
        <v>314.06813627254508</v>
      </c>
      <c r="O48" s="105">
        <f t="shared" si="52"/>
        <v>318.84009942004968</v>
      </c>
      <c r="P48" s="105">
        <f t="shared" si="52"/>
        <v>302.86327254723989</v>
      </c>
      <c r="Q48" s="105">
        <f t="shared" si="52"/>
        <v>287.56832734655632</v>
      </c>
      <c r="R48" s="105">
        <f t="shared" si="52"/>
        <v>272.83535393038716</v>
      </c>
      <c r="S48" s="105">
        <f t="shared" si="52"/>
        <v>289.88702337988389</v>
      </c>
      <c r="T48" s="105">
        <f t="shared" si="52"/>
        <v>284.34900831733842</v>
      </c>
      <c r="U48" s="105">
        <f t="shared" si="52"/>
        <v>295.07204169221336</v>
      </c>
      <c r="V48" s="105">
        <f t="shared" si="52"/>
        <v>289.84717059066503</v>
      </c>
      <c r="W48" s="105">
        <f t="shared" si="52"/>
        <v>278.98060098896923</v>
      </c>
      <c r="X48" s="105">
        <f t="shared" si="52"/>
        <v>281.76447105788424</v>
      </c>
      <c r="Y48" s="105">
        <f t="shared" si="52"/>
        <v>295.99719101123594</v>
      </c>
      <c r="Z48" s="105">
        <f t="shared" si="52"/>
        <v>261.57553848471156</v>
      </c>
      <c r="AA48" s="105">
        <f t="shared" si="52"/>
        <v>297.65886287625415</v>
      </c>
      <c r="AB48" s="105">
        <f t="shared" si="52"/>
        <v>287.70987747693238</v>
      </c>
      <c r="AC48" s="105">
        <f t="shared" si="52"/>
        <v>339.51414514145137</v>
      </c>
      <c r="AD48" s="105">
        <f t="shared" si="52"/>
        <v>324.82006036684464</v>
      </c>
      <c r="AE48" s="105">
        <f t="shared" si="52"/>
        <v>333.10557637205198</v>
      </c>
      <c r="AF48" s="105">
        <f t="shared" si="52"/>
        <v>295.14389826727154</v>
      </c>
      <c r="AG48" s="105">
        <f t="shared" ref="AG48:AN48" si="53">(AG46/AG47)</f>
        <v>296.03762827822123</v>
      </c>
      <c r="AH48" s="105">
        <f t="shared" si="53"/>
        <v>277.81130409184573</v>
      </c>
      <c r="AI48" s="106">
        <f t="shared" si="53"/>
        <v>297.15022091310749</v>
      </c>
      <c r="AJ48" s="106">
        <f t="shared" si="53"/>
        <v>252.34451196638909</v>
      </c>
      <c r="AK48" s="106">
        <f t="shared" si="53"/>
        <v>277.49544958136147</v>
      </c>
      <c r="AL48" s="106">
        <f t="shared" si="53"/>
        <v>251.78544061302682</v>
      </c>
      <c r="AM48" s="106">
        <f t="shared" si="53"/>
        <v>271.94683908045977</v>
      </c>
      <c r="AN48" s="106">
        <f t="shared" si="53"/>
        <v>234.33429013027157</v>
      </c>
      <c r="AO48" s="106">
        <f t="shared" ref="AO48:BD48" si="54">(AO46/AO47)</f>
        <v>269.63545077493995</v>
      </c>
      <c r="AP48" s="106">
        <f t="shared" si="54"/>
        <v>243.08664931201193</v>
      </c>
      <c r="AQ48" s="106">
        <f t="shared" si="54"/>
        <v>289.29910177523163</v>
      </c>
      <c r="AR48" s="106">
        <f t="shared" si="54"/>
        <v>259.81047528098145</v>
      </c>
      <c r="AS48" s="106">
        <f t="shared" si="54"/>
        <v>315.10355146074494</v>
      </c>
      <c r="AT48" s="106">
        <f t="shared" si="54"/>
        <v>281.01434506545428</v>
      </c>
      <c r="AU48" s="106">
        <f t="shared" si="54"/>
        <v>299.45958465220411</v>
      </c>
      <c r="AV48" s="107">
        <f t="shared" si="54"/>
        <v>294.81759824643808</v>
      </c>
      <c r="AW48" s="108">
        <f t="shared" si="54"/>
        <v>329.17286172626967</v>
      </c>
      <c r="AX48" s="107">
        <f t="shared" si="54"/>
        <v>285.60931759556007</v>
      </c>
      <c r="AY48" s="108">
        <f t="shared" si="54"/>
        <v>311.90774042220482</v>
      </c>
      <c r="AZ48" s="106">
        <f t="shared" si="54"/>
        <v>254.62288038057238</v>
      </c>
      <c r="BA48" s="108">
        <f t="shared" si="54"/>
        <v>315.5036986196904</v>
      </c>
      <c r="BB48" s="106">
        <f t="shared" si="54"/>
        <v>277.36250379823764</v>
      </c>
      <c r="BC48" s="108">
        <f t="shared" si="54"/>
        <v>315.92327626304018</v>
      </c>
      <c r="BD48" s="106">
        <f t="shared" si="54"/>
        <v>284.64655486829076</v>
      </c>
      <c r="BE48" s="108">
        <f t="shared" ref="BE48:BL48" si="55">(BE46/BE47)</f>
        <v>327.5444453356036</v>
      </c>
      <c r="BF48" s="107">
        <f t="shared" si="55"/>
        <v>283.65520005830479</v>
      </c>
      <c r="BG48" s="108">
        <f t="shared" si="55"/>
        <v>326.47387109224229</v>
      </c>
      <c r="BH48" s="107">
        <f t="shared" si="55"/>
        <v>282.44919993785925</v>
      </c>
      <c r="BI48" s="108">
        <f>(BI46/BI47)</f>
        <v>304.53975304923961</v>
      </c>
      <c r="BJ48" s="190">
        <f>(BJ46/BJ47)</f>
        <v>278.5633857654571</v>
      </c>
      <c r="BK48" s="191">
        <f>(BK46/BK47)</f>
        <v>313.09690820484138</v>
      </c>
      <c r="BL48" s="141" t="e">
        <f t="shared" si="55"/>
        <v>#DIV/0!</v>
      </c>
      <c r="BM48" s="106"/>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row>
    <row r="49" spans="1:328" s="16" customFormat="1">
      <c r="A49" s="47" t="s">
        <v>10</v>
      </c>
      <c r="B49" s="56"/>
      <c r="C49" s="57"/>
      <c r="D49" s="57"/>
      <c r="E49" s="57"/>
      <c r="F49" s="57"/>
      <c r="G49" s="57"/>
      <c r="H49" s="57"/>
      <c r="I49" s="57"/>
      <c r="J49" s="57"/>
      <c r="K49" s="57"/>
      <c r="L49" s="57"/>
      <c r="M49" s="48"/>
      <c r="N49" s="48"/>
      <c r="O49" s="48"/>
      <c r="P49" s="48"/>
      <c r="Q49" s="48"/>
      <c r="R49" s="48"/>
      <c r="S49" s="48"/>
      <c r="T49" s="48"/>
      <c r="U49" s="48"/>
      <c r="V49" s="48"/>
      <c r="W49" s="48"/>
      <c r="X49" s="48"/>
      <c r="Y49" s="48"/>
      <c r="Z49" s="48"/>
      <c r="AA49" s="48"/>
      <c r="AB49" s="48"/>
      <c r="AC49" s="48"/>
      <c r="AD49" s="48"/>
      <c r="AE49" s="48"/>
      <c r="AF49" s="48"/>
      <c r="AG49" s="48"/>
      <c r="AH49" s="48"/>
      <c r="AI49" s="55"/>
      <c r="AJ49" s="55"/>
      <c r="AK49" s="48"/>
      <c r="AL49" s="48"/>
      <c r="AM49" s="55"/>
      <c r="AN49" s="55"/>
      <c r="AO49" s="55"/>
      <c r="AP49" s="55"/>
      <c r="AQ49" s="55"/>
      <c r="AR49" s="55"/>
      <c r="AS49" s="55"/>
      <c r="AT49" s="55"/>
      <c r="AU49" s="55"/>
      <c r="AV49" s="63"/>
      <c r="AW49" s="64"/>
      <c r="AX49" s="63"/>
      <c r="AY49" s="64"/>
      <c r="AZ49" s="55"/>
      <c r="BA49" s="64"/>
      <c r="BB49" s="55"/>
      <c r="BC49" s="64"/>
      <c r="BD49" s="55"/>
      <c r="BE49" s="64"/>
      <c r="BF49" s="63"/>
      <c r="BG49" s="64"/>
      <c r="BH49" s="63"/>
      <c r="BI49" s="64"/>
      <c r="BJ49" s="182"/>
      <c r="BK49" s="183"/>
      <c r="BL49" s="137"/>
      <c r="BM49" s="24"/>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row>
    <row r="50" spans="1:328" s="105" customFormat="1" ht="9" customHeight="1">
      <c r="A50" s="113"/>
      <c r="B50" s="113" t="s">
        <v>17</v>
      </c>
      <c r="C50" s="112">
        <f>C38+C42+C46</f>
        <v>189307</v>
      </c>
      <c r="D50" s="112">
        <f>D38+D42+D46</f>
        <v>169351</v>
      </c>
      <c r="E50" s="112">
        <f t="shared" ref="E50:BH50" si="56">E38+E42+E46</f>
        <v>189943</v>
      </c>
      <c r="F50" s="112">
        <f t="shared" si="56"/>
        <v>169909</v>
      </c>
      <c r="G50" s="112">
        <f t="shared" si="56"/>
        <v>188702</v>
      </c>
      <c r="H50" s="112">
        <f t="shared" si="56"/>
        <v>166861</v>
      </c>
      <c r="I50" s="112">
        <f t="shared" si="56"/>
        <v>186936</v>
      </c>
      <c r="J50" s="112">
        <f t="shared" si="56"/>
        <v>166731</v>
      </c>
      <c r="K50" s="112">
        <f t="shared" si="56"/>
        <v>183357</v>
      </c>
      <c r="L50" s="112">
        <f t="shared" si="56"/>
        <v>166013</v>
      </c>
      <c r="M50" s="112">
        <f t="shared" si="56"/>
        <v>183206</v>
      </c>
      <c r="N50" s="112">
        <f t="shared" si="56"/>
        <v>162271</v>
      </c>
      <c r="O50" s="112">
        <f t="shared" si="56"/>
        <v>178784</v>
      </c>
      <c r="P50" s="112">
        <f t="shared" si="56"/>
        <v>158051</v>
      </c>
      <c r="Q50" s="112">
        <f t="shared" si="56"/>
        <v>177076</v>
      </c>
      <c r="R50" s="112">
        <f t="shared" si="56"/>
        <v>155600</v>
      </c>
      <c r="S50" s="112">
        <f t="shared" si="56"/>
        <v>177787</v>
      </c>
      <c r="T50" s="112">
        <f t="shared" si="56"/>
        <v>154768</v>
      </c>
      <c r="U50" s="112">
        <f t="shared" si="56"/>
        <v>181030</v>
      </c>
      <c r="V50" s="112">
        <f t="shared" si="56"/>
        <v>163140</v>
      </c>
      <c r="W50" s="112">
        <f t="shared" si="56"/>
        <v>179489</v>
      </c>
      <c r="X50" s="112">
        <f t="shared" si="56"/>
        <v>160837</v>
      </c>
      <c r="Y50" s="112">
        <f t="shared" si="56"/>
        <v>182531</v>
      </c>
      <c r="Z50" s="112">
        <f t="shared" si="56"/>
        <v>161585</v>
      </c>
      <c r="AA50" s="112">
        <f t="shared" si="56"/>
        <v>186946</v>
      </c>
      <c r="AB50" s="112">
        <f t="shared" si="56"/>
        <v>170264</v>
      </c>
      <c r="AC50" s="112">
        <f t="shared" si="56"/>
        <v>194700</v>
      </c>
      <c r="AD50" s="112">
        <f t="shared" si="56"/>
        <v>179314</v>
      </c>
      <c r="AE50" s="112">
        <f t="shared" si="56"/>
        <v>196277</v>
      </c>
      <c r="AF50" s="112">
        <f t="shared" si="56"/>
        <v>174393</v>
      </c>
      <c r="AG50" s="112">
        <f t="shared" ref="AG50:AN51" si="57">AG38+AG42+AG46</f>
        <v>189234</v>
      </c>
      <c r="AH50" s="112">
        <f t="shared" si="57"/>
        <v>167176</v>
      </c>
      <c r="AI50" s="114">
        <f t="shared" si="57"/>
        <v>183287</v>
      </c>
      <c r="AJ50" s="114">
        <f t="shared" si="57"/>
        <v>157898</v>
      </c>
      <c r="AK50" s="112">
        <f t="shared" si="57"/>
        <v>176457</v>
      </c>
      <c r="AL50" s="112">
        <f t="shared" si="57"/>
        <v>155724</v>
      </c>
      <c r="AM50" s="114">
        <f t="shared" si="57"/>
        <v>172207</v>
      </c>
      <c r="AN50" s="114">
        <f t="shared" si="57"/>
        <v>151132</v>
      </c>
      <c r="AO50" s="114">
        <f t="shared" ref="AO50:AZ51" si="58">AO38+AO42+AO46</f>
        <v>176277</v>
      </c>
      <c r="AP50" s="114">
        <f t="shared" si="58"/>
        <v>157389</v>
      </c>
      <c r="AQ50" s="114">
        <f t="shared" si="58"/>
        <v>182175</v>
      </c>
      <c r="AR50" s="114">
        <f t="shared" si="58"/>
        <v>164400</v>
      </c>
      <c r="AS50" s="114">
        <f t="shared" si="58"/>
        <v>185710</v>
      </c>
      <c r="AT50" s="114">
        <f t="shared" si="58"/>
        <v>168554</v>
      </c>
      <c r="AU50" s="114">
        <f t="shared" si="58"/>
        <v>191208</v>
      </c>
      <c r="AV50" s="115">
        <f t="shared" si="58"/>
        <v>171269</v>
      </c>
      <c r="AW50" s="116">
        <f t="shared" si="58"/>
        <v>200892</v>
      </c>
      <c r="AX50" s="115">
        <f t="shared" si="58"/>
        <v>175865</v>
      </c>
      <c r="AY50" s="116">
        <f t="shared" si="58"/>
        <v>204873</v>
      </c>
      <c r="AZ50" s="114">
        <f t="shared" si="58"/>
        <v>180449</v>
      </c>
      <c r="BA50" s="116">
        <f t="shared" ref="BA50:BF51" si="59">BA38+BA42+BA46</f>
        <v>218481</v>
      </c>
      <c r="BB50" s="114">
        <f t="shared" si="59"/>
        <v>194447</v>
      </c>
      <c r="BC50" s="116">
        <f>BC38+BC42+BC46</f>
        <v>228988.05</v>
      </c>
      <c r="BD50" s="114">
        <f>BD38+BD42+BD46</f>
        <v>205167.27000000002</v>
      </c>
      <c r="BE50" s="116">
        <f t="shared" si="59"/>
        <v>236878.51</v>
      </c>
      <c r="BF50" s="115">
        <f t="shared" si="59"/>
        <v>206934.13</v>
      </c>
      <c r="BG50" s="116">
        <f t="shared" si="56"/>
        <v>239646.8</v>
      </c>
      <c r="BH50" s="115">
        <f t="shared" si="56"/>
        <v>208647.65</v>
      </c>
      <c r="BI50" s="116">
        <f t="shared" ref="BI50:BL51" si="60">BI38+BI42+BI46</f>
        <v>232636.72</v>
      </c>
      <c r="BJ50" s="184">
        <f>BJ38+BJ42+BJ46</f>
        <v>197621.39</v>
      </c>
      <c r="BK50" s="185">
        <f t="shared" si="60"/>
        <v>221890.79</v>
      </c>
      <c r="BL50" s="160">
        <f t="shared" si="60"/>
        <v>0</v>
      </c>
      <c r="BM50" s="106"/>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row>
    <row r="51" spans="1:328" s="95" customFormat="1" ht="9" customHeight="1">
      <c r="A51" s="118"/>
      <c r="B51" s="118" t="s">
        <v>20</v>
      </c>
      <c r="C51" s="117">
        <f>C39+C43+C47</f>
        <v>809.01</v>
      </c>
      <c r="D51" s="117">
        <f>D39+D43+D47</f>
        <v>803.5</v>
      </c>
      <c r="E51" s="117">
        <f t="shared" ref="E51:BH51" si="61">E39+E43+E47</f>
        <v>814.45</v>
      </c>
      <c r="F51" s="117">
        <f t="shared" si="61"/>
        <v>795.42</v>
      </c>
      <c r="G51" s="117">
        <f t="shared" si="61"/>
        <v>802.8599999999999</v>
      </c>
      <c r="H51" s="117">
        <f t="shared" si="61"/>
        <v>792.5200000000001</v>
      </c>
      <c r="I51" s="117">
        <f t="shared" si="61"/>
        <v>745.86</v>
      </c>
      <c r="J51" s="117">
        <f t="shared" si="61"/>
        <v>764.2</v>
      </c>
      <c r="K51" s="117">
        <f t="shared" si="61"/>
        <v>760.89</v>
      </c>
      <c r="L51" s="117">
        <f t="shared" si="61"/>
        <v>753.06999999999994</v>
      </c>
      <c r="M51" s="117">
        <f t="shared" si="61"/>
        <v>780.07999999999993</v>
      </c>
      <c r="N51" s="117">
        <f t="shared" si="61"/>
        <v>753.56</v>
      </c>
      <c r="O51" s="117">
        <f t="shared" si="61"/>
        <v>779.97</v>
      </c>
      <c r="P51" s="117">
        <f t="shared" si="61"/>
        <v>761.87000000000012</v>
      </c>
      <c r="Q51" s="117">
        <f t="shared" si="61"/>
        <v>779.15000000000009</v>
      </c>
      <c r="R51" s="117">
        <f t="shared" si="61"/>
        <v>751.21</v>
      </c>
      <c r="S51" s="117">
        <f t="shared" si="61"/>
        <v>783.78</v>
      </c>
      <c r="T51" s="117">
        <f t="shared" si="61"/>
        <v>730.66</v>
      </c>
      <c r="U51" s="117">
        <f t="shared" si="61"/>
        <v>795.43000000000006</v>
      </c>
      <c r="V51" s="117">
        <f t="shared" si="61"/>
        <v>749.64999999999986</v>
      </c>
      <c r="W51" s="117">
        <f t="shared" si="61"/>
        <v>801.32999999999993</v>
      </c>
      <c r="X51" s="117">
        <f t="shared" si="61"/>
        <v>761.6</v>
      </c>
      <c r="Y51" s="117">
        <f t="shared" si="61"/>
        <v>797.05000000000007</v>
      </c>
      <c r="Z51" s="117">
        <f t="shared" si="61"/>
        <v>773.16</v>
      </c>
      <c r="AA51" s="117">
        <f t="shared" si="61"/>
        <v>793.64999999999986</v>
      </c>
      <c r="AB51" s="117">
        <f t="shared" si="61"/>
        <v>785.24</v>
      </c>
      <c r="AC51" s="117">
        <f t="shared" si="61"/>
        <v>774.28000000000009</v>
      </c>
      <c r="AD51" s="117">
        <f t="shared" si="61"/>
        <v>763.09</v>
      </c>
      <c r="AE51" s="117">
        <f t="shared" si="61"/>
        <v>779.73</v>
      </c>
      <c r="AF51" s="117">
        <f t="shared" si="61"/>
        <v>770.07</v>
      </c>
      <c r="AG51" s="117">
        <f t="shared" si="57"/>
        <v>801.93000000000006</v>
      </c>
      <c r="AH51" s="117">
        <f t="shared" si="57"/>
        <v>765.25</v>
      </c>
      <c r="AI51" s="119">
        <f t="shared" si="57"/>
        <v>773.57999999999993</v>
      </c>
      <c r="AJ51" s="119">
        <f t="shared" si="57"/>
        <v>751.69999999999993</v>
      </c>
      <c r="AK51" s="117">
        <f t="shared" si="57"/>
        <v>776.36</v>
      </c>
      <c r="AL51" s="117">
        <f t="shared" si="57"/>
        <v>753.74</v>
      </c>
      <c r="AM51" s="119">
        <f t="shared" si="57"/>
        <v>781.63000000000011</v>
      </c>
      <c r="AN51" s="119">
        <f t="shared" si="57"/>
        <v>761.15</v>
      </c>
      <c r="AO51" s="119">
        <f t="shared" si="58"/>
        <v>766.32999999999993</v>
      </c>
      <c r="AP51" s="119">
        <f t="shared" si="58"/>
        <v>745.27</v>
      </c>
      <c r="AQ51" s="119">
        <f t="shared" si="58"/>
        <v>783.51</v>
      </c>
      <c r="AR51" s="119">
        <f t="shared" si="58"/>
        <v>750.55</v>
      </c>
      <c r="AS51" s="119">
        <f t="shared" si="58"/>
        <v>707.02</v>
      </c>
      <c r="AT51" s="119">
        <f t="shared" si="58"/>
        <v>699.01</v>
      </c>
      <c r="AU51" s="119">
        <f t="shared" si="58"/>
        <v>741.52</v>
      </c>
      <c r="AV51" s="120">
        <f t="shared" si="58"/>
        <v>726.96</v>
      </c>
      <c r="AW51" s="121">
        <f t="shared" si="58"/>
        <v>768.93999999999994</v>
      </c>
      <c r="AX51" s="120">
        <f t="shared" si="58"/>
        <v>750.38000000000011</v>
      </c>
      <c r="AY51" s="121">
        <f t="shared" si="58"/>
        <v>798.82</v>
      </c>
      <c r="AZ51" s="119">
        <f t="shared" si="58"/>
        <v>783.78000000000009</v>
      </c>
      <c r="BA51" s="121">
        <f t="shared" si="59"/>
        <v>810.8</v>
      </c>
      <c r="BB51" s="119">
        <f t="shared" si="59"/>
        <v>800.18</v>
      </c>
      <c r="BC51" s="121">
        <f>BC39+BC43+BC47</f>
        <v>900.13800000000003</v>
      </c>
      <c r="BD51" s="119">
        <f>BD39+BD43+BD47</f>
        <v>877.9849999999999</v>
      </c>
      <c r="BE51" s="121">
        <f t="shared" si="59"/>
        <v>816.25600000000009</v>
      </c>
      <c r="BF51" s="120">
        <f t="shared" si="59"/>
        <v>840.01</v>
      </c>
      <c r="BG51" s="121">
        <f t="shared" si="61"/>
        <v>927.46</v>
      </c>
      <c r="BH51" s="120">
        <f t="shared" si="61"/>
        <v>896.27</v>
      </c>
      <c r="BI51" s="121">
        <f t="shared" si="60"/>
        <v>943.63999999999987</v>
      </c>
      <c r="BJ51" s="186">
        <f t="shared" si="60"/>
        <v>888.25</v>
      </c>
      <c r="BK51" s="187">
        <f t="shared" si="60"/>
        <v>884.43999999999994</v>
      </c>
      <c r="BL51" s="160">
        <f t="shared" si="60"/>
        <v>0</v>
      </c>
      <c r="BM51" s="96"/>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row>
    <row r="52" spans="1:328" s="105" customFormat="1" ht="9" customHeight="1">
      <c r="A52" s="122"/>
      <c r="B52" s="113" t="s">
        <v>18</v>
      </c>
      <c r="C52" s="114">
        <f>(C50/C51)</f>
        <v>233.99834365459017</v>
      </c>
      <c r="D52" s="114">
        <f>(D50/D51)</f>
        <v>210.76664592408213</v>
      </c>
      <c r="E52" s="114">
        <f t="shared" ref="E52:BH52" si="62">(E50/E51)</f>
        <v>233.21628092577811</v>
      </c>
      <c r="F52" s="114">
        <f t="shared" si="62"/>
        <v>213.60916245505521</v>
      </c>
      <c r="G52" s="114">
        <f t="shared" si="62"/>
        <v>235.03724186034927</v>
      </c>
      <c r="H52" s="114">
        <f t="shared" si="62"/>
        <v>210.54484429415027</v>
      </c>
      <c r="I52" s="114">
        <f t="shared" si="62"/>
        <v>250.63148580162496</v>
      </c>
      <c r="J52" s="114">
        <f t="shared" si="62"/>
        <v>218.17717874901857</v>
      </c>
      <c r="K52" s="114">
        <f t="shared" si="62"/>
        <v>240.97701376020188</v>
      </c>
      <c r="L52" s="114">
        <f t="shared" si="62"/>
        <v>220.44829829896292</v>
      </c>
      <c r="M52" s="114">
        <f t="shared" si="62"/>
        <v>234.85539944621067</v>
      </c>
      <c r="N52" s="114">
        <f t="shared" si="62"/>
        <v>215.33918997823665</v>
      </c>
      <c r="O52" s="114">
        <f t="shared" si="62"/>
        <v>229.21907252843056</v>
      </c>
      <c r="P52" s="114">
        <f t="shared" si="62"/>
        <v>207.45140247023767</v>
      </c>
      <c r="Q52" s="114">
        <f t="shared" si="62"/>
        <v>227.26817685939804</v>
      </c>
      <c r="R52" s="114">
        <f t="shared" si="62"/>
        <v>207.1324929114362</v>
      </c>
      <c r="S52" s="114">
        <f t="shared" si="62"/>
        <v>226.83278470999517</v>
      </c>
      <c r="T52" s="114">
        <f t="shared" si="62"/>
        <v>211.81945090739879</v>
      </c>
      <c r="U52" s="114">
        <f t="shared" si="62"/>
        <v>227.58759413147604</v>
      </c>
      <c r="V52" s="114">
        <f t="shared" si="62"/>
        <v>217.62155672647239</v>
      </c>
      <c r="W52" s="114">
        <f t="shared" si="62"/>
        <v>223.98886850610862</v>
      </c>
      <c r="X52" s="114">
        <f t="shared" si="62"/>
        <v>211.18303571428569</v>
      </c>
      <c r="Y52" s="114">
        <f t="shared" si="62"/>
        <v>229.00821780314908</v>
      </c>
      <c r="Z52" s="114">
        <f t="shared" si="62"/>
        <v>208.9929639401935</v>
      </c>
      <c r="AA52" s="114">
        <f t="shared" si="62"/>
        <v>235.5521955521956</v>
      </c>
      <c r="AB52" s="114">
        <f t="shared" si="62"/>
        <v>216.8305231521573</v>
      </c>
      <c r="AC52" s="114">
        <f t="shared" si="62"/>
        <v>251.4594203647259</v>
      </c>
      <c r="AD52" s="114">
        <f t="shared" si="62"/>
        <v>234.9840778938264</v>
      </c>
      <c r="AE52" s="114">
        <f t="shared" si="62"/>
        <v>251.72431482692727</v>
      </c>
      <c r="AF52" s="114">
        <f t="shared" si="62"/>
        <v>226.46382796369159</v>
      </c>
      <c r="AG52" s="114">
        <f t="shared" ref="AG52:AL52" si="63">(AG50/AG51)</f>
        <v>235.97321461972987</v>
      </c>
      <c r="AH52" s="114">
        <f t="shared" si="63"/>
        <v>218.45932701731459</v>
      </c>
      <c r="AI52" s="114">
        <f t="shared" si="63"/>
        <v>236.93347811473927</v>
      </c>
      <c r="AJ52" s="114">
        <f t="shared" si="63"/>
        <v>210.05454303578557</v>
      </c>
      <c r="AK52" s="114">
        <f t="shared" si="63"/>
        <v>227.28759853676129</v>
      </c>
      <c r="AL52" s="114">
        <f t="shared" si="63"/>
        <v>206.60174596014539</v>
      </c>
      <c r="AM52" s="114">
        <f>(AM50/AM51)</f>
        <v>220.31779742333325</v>
      </c>
      <c r="AN52" s="114">
        <f>(AN50/AN51)</f>
        <v>198.55744596991394</v>
      </c>
      <c r="AO52" s="114">
        <f>(AO50/AO51)</f>
        <v>230.02753383007322</v>
      </c>
      <c r="AP52" s="114">
        <f>(AP50/AP51)</f>
        <v>211.18386624981551</v>
      </c>
      <c r="AQ52" s="114">
        <f t="shared" ref="AQ52:AX52" si="64">(AQ50/AQ51)</f>
        <v>232.51139104797642</v>
      </c>
      <c r="AR52" s="114">
        <f t="shared" si="64"/>
        <v>219.03937112783959</v>
      </c>
      <c r="AS52" s="114">
        <f t="shared" si="64"/>
        <v>262.66583689287432</v>
      </c>
      <c r="AT52" s="114">
        <f t="shared" si="64"/>
        <v>241.13245876310782</v>
      </c>
      <c r="AU52" s="114">
        <f t="shared" si="64"/>
        <v>257.85953177257528</v>
      </c>
      <c r="AV52" s="115">
        <f t="shared" si="64"/>
        <v>235.59618135798391</v>
      </c>
      <c r="AW52" s="116">
        <f t="shared" si="64"/>
        <v>261.25835565843892</v>
      </c>
      <c r="AX52" s="115">
        <f t="shared" si="64"/>
        <v>234.36792025373808</v>
      </c>
      <c r="AY52" s="116">
        <f t="shared" ref="AY52:BF52" si="65">(AY50/AY51)</f>
        <v>256.46954257529853</v>
      </c>
      <c r="AZ52" s="114">
        <f t="shared" si="65"/>
        <v>230.22914593380793</v>
      </c>
      <c r="BA52" s="116">
        <f t="shared" si="65"/>
        <v>269.46349284657128</v>
      </c>
      <c r="BB52" s="114">
        <f t="shared" si="65"/>
        <v>243.00407408333126</v>
      </c>
      <c r="BC52" s="116">
        <f>(BC50/BC51)</f>
        <v>254.3921598688201</v>
      </c>
      <c r="BD52" s="114">
        <f>(BD50/BD51)</f>
        <v>233.67969840031441</v>
      </c>
      <c r="BE52" s="116">
        <f t="shared" si="65"/>
        <v>290.20124813783912</v>
      </c>
      <c r="BF52" s="115">
        <f t="shared" si="65"/>
        <v>246.34722205688027</v>
      </c>
      <c r="BG52" s="116">
        <f t="shared" si="62"/>
        <v>258.39044271451058</v>
      </c>
      <c r="BH52" s="115">
        <f t="shared" si="62"/>
        <v>232.79553036473385</v>
      </c>
      <c r="BI52" s="116">
        <f>(BI50/BI51)</f>
        <v>246.53121953287274</v>
      </c>
      <c r="BJ52" s="184">
        <f>(BJ50/BJ51)</f>
        <v>222.48397410638898</v>
      </c>
      <c r="BK52" s="185">
        <f>(BK50/BK51)</f>
        <v>250.88280720003621</v>
      </c>
      <c r="BL52" s="160" t="e">
        <f>(BL50/BL51)</f>
        <v>#DIV/0!</v>
      </c>
      <c r="BM52" s="106"/>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row>
    <row r="53" spans="1:328" s="12" customFormat="1" ht="3" customHeight="1">
      <c r="A53" s="10"/>
      <c r="B53" s="1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79"/>
      <c r="AW53" s="80"/>
      <c r="AX53" s="79"/>
      <c r="AY53" s="80"/>
      <c r="AZ53" s="11"/>
      <c r="BA53" s="80"/>
      <c r="BB53" s="11"/>
      <c r="BC53" s="80"/>
      <c r="BD53" s="11"/>
      <c r="BE53" s="80"/>
      <c r="BF53" s="79"/>
      <c r="BG53" s="80"/>
      <c r="BH53" s="79"/>
      <c r="BI53" s="80"/>
      <c r="BJ53" s="178"/>
      <c r="BK53" s="179"/>
      <c r="BL53" s="149"/>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row>
    <row r="54" spans="1:328" s="32" customFormat="1">
      <c r="A54" s="15" t="s">
        <v>11</v>
      </c>
      <c r="B54" s="15"/>
      <c r="C54" s="31"/>
      <c r="D54" s="31"/>
      <c r="E54" s="31"/>
      <c r="F54" s="31"/>
      <c r="G54" s="31"/>
      <c r="H54" s="31"/>
      <c r="I54" s="31"/>
      <c r="J54" s="31"/>
      <c r="K54" s="31"/>
      <c r="L54" s="31"/>
      <c r="AI54" s="33"/>
      <c r="AJ54" s="33"/>
      <c r="AR54" s="33"/>
      <c r="AS54" s="33"/>
      <c r="AT54" s="33"/>
      <c r="AU54" s="33"/>
      <c r="AV54" s="81"/>
      <c r="AW54" s="82"/>
      <c r="AX54" s="81"/>
      <c r="AY54" s="82"/>
      <c r="AZ54" s="33"/>
      <c r="BA54" s="82"/>
      <c r="BB54" s="33"/>
      <c r="BC54" s="82"/>
      <c r="BD54" s="33"/>
      <c r="BE54" s="82"/>
      <c r="BF54" s="81"/>
      <c r="BG54" s="82"/>
      <c r="BH54" s="81"/>
      <c r="BI54" s="82"/>
      <c r="BJ54" s="203"/>
      <c r="BK54" s="204"/>
      <c r="BL54" s="150"/>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row>
    <row r="55" spans="1:328" s="35" customFormat="1" ht="9.75" customHeight="1">
      <c r="A55" s="34"/>
      <c r="B55" s="34" t="s">
        <v>17</v>
      </c>
      <c r="C55" s="35">
        <v>329692</v>
      </c>
      <c r="D55" s="35">
        <v>305027</v>
      </c>
      <c r="E55" s="35">
        <v>327794</v>
      </c>
      <c r="F55" s="35">
        <v>304816</v>
      </c>
      <c r="G55" s="35">
        <v>324674</v>
      </c>
      <c r="H55" s="35">
        <v>298438</v>
      </c>
      <c r="I55" s="35">
        <f>321532+353</f>
        <v>321885</v>
      </c>
      <c r="J55" s="35">
        <f>296483+957</f>
        <v>297440</v>
      </c>
      <c r="K55" s="35">
        <f>319399+684</f>
        <v>320083</v>
      </c>
      <c r="L55" s="35">
        <f>297509+661</f>
        <v>298170</v>
      </c>
      <c r="M55" s="35">
        <f>318973+422</f>
        <v>319395</v>
      </c>
      <c r="N55" s="35">
        <f>293209+465</f>
        <v>293674</v>
      </c>
      <c r="O55" s="35">
        <f t="shared" ref="O55:AI55" si="66">O9+O13+O17+O21+O25+O29+O50</f>
        <v>313092</v>
      </c>
      <c r="P55" s="35">
        <f t="shared" si="66"/>
        <v>286946</v>
      </c>
      <c r="Q55" s="35">
        <f t="shared" si="66"/>
        <v>310278</v>
      </c>
      <c r="R55" s="35">
        <f t="shared" si="66"/>
        <v>285574</v>
      </c>
      <c r="S55" s="35">
        <f t="shared" si="66"/>
        <v>312324</v>
      </c>
      <c r="T55" s="35">
        <f t="shared" si="66"/>
        <v>287319</v>
      </c>
      <c r="U55" s="35">
        <f t="shared" si="66"/>
        <v>320081</v>
      </c>
      <c r="V55" s="35">
        <f t="shared" si="66"/>
        <v>295860</v>
      </c>
      <c r="W55" s="35">
        <f t="shared" si="66"/>
        <v>321678</v>
      </c>
      <c r="X55" s="35">
        <f t="shared" si="66"/>
        <v>296554</v>
      </c>
      <c r="Y55" s="35">
        <f t="shared" si="66"/>
        <v>327412</v>
      </c>
      <c r="Z55" s="35">
        <f t="shared" si="66"/>
        <v>302421</v>
      </c>
      <c r="AA55" s="35">
        <f t="shared" si="66"/>
        <v>336470</v>
      </c>
      <c r="AB55" s="35">
        <f t="shared" si="66"/>
        <v>311532</v>
      </c>
      <c r="AC55" s="35">
        <f t="shared" si="66"/>
        <v>347800</v>
      </c>
      <c r="AD55" s="35">
        <f t="shared" si="66"/>
        <v>330489</v>
      </c>
      <c r="AE55" s="35">
        <f t="shared" si="66"/>
        <v>354997</v>
      </c>
      <c r="AF55" s="35">
        <f t="shared" si="66"/>
        <v>325197</v>
      </c>
      <c r="AG55" s="35">
        <f t="shared" si="66"/>
        <v>347767</v>
      </c>
      <c r="AH55" s="35">
        <f t="shared" si="66"/>
        <v>315272</v>
      </c>
      <c r="AI55" s="36">
        <f t="shared" si="66"/>
        <v>334011</v>
      </c>
      <c r="AJ55" s="36">
        <f t="shared" ref="AJ55:BH55" si="67">AJ9+AJ13+AJ17+AJ21+AJ25+AJ29+AJ33+AJ50</f>
        <v>303180</v>
      </c>
      <c r="AK55" s="36">
        <f t="shared" si="67"/>
        <v>323744</v>
      </c>
      <c r="AL55" s="36">
        <f t="shared" si="67"/>
        <v>294338</v>
      </c>
      <c r="AM55" s="36">
        <f t="shared" si="67"/>
        <v>315385</v>
      </c>
      <c r="AN55" s="36">
        <f t="shared" si="67"/>
        <v>286151</v>
      </c>
      <c r="AO55" s="36">
        <f t="shared" si="67"/>
        <v>324594</v>
      </c>
      <c r="AP55" s="36">
        <f t="shared" si="67"/>
        <v>298010</v>
      </c>
      <c r="AQ55" s="36">
        <f t="shared" si="67"/>
        <v>334426</v>
      </c>
      <c r="AR55" s="36">
        <f t="shared" si="67"/>
        <v>312726</v>
      </c>
      <c r="AS55" s="36">
        <f t="shared" si="67"/>
        <v>354372</v>
      </c>
      <c r="AT55" s="36">
        <f t="shared" si="67"/>
        <v>326215</v>
      </c>
      <c r="AU55" s="36">
        <f t="shared" si="67"/>
        <v>364954</v>
      </c>
      <c r="AV55" s="83">
        <f t="shared" si="67"/>
        <v>333365</v>
      </c>
      <c r="AW55" s="84">
        <f t="shared" si="67"/>
        <v>384587</v>
      </c>
      <c r="AX55" s="83">
        <f t="shared" si="67"/>
        <v>351806</v>
      </c>
      <c r="AY55" s="84">
        <f t="shared" ref="AY55:BD55" si="68">AY9+AY13+AY17+AY21+AY25+AY29+AY33+AY50</f>
        <v>399891</v>
      </c>
      <c r="AZ55" s="36">
        <f t="shared" si="68"/>
        <v>371940</v>
      </c>
      <c r="BA55" s="84">
        <f t="shared" si="68"/>
        <v>426930</v>
      </c>
      <c r="BB55" s="36">
        <f t="shared" si="68"/>
        <v>394080</v>
      </c>
      <c r="BC55" s="84">
        <f t="shared" si="68"/>
        <v>446912.37</v>
      </c>
      <c r="BD55" s="36">
        <f t="shared" si="68"/>
        <v>416996.46</v>
      </c>
      <c r="BE55" s="84">
        <f>BE9+BE13+BE17+BE21+BE25+BE29+BE33+BE50</f>
        <v>465012.57</v>
      </c>
      <c r="BF55" s="83">
        <f t="shared" si="67"/>
        <v>429668.4</v>
      </c>
      <c r="BG55" s="84">
        <f t="shared" si="67"/>
        <v>468172.24</v>
      </c>
      <c r="BH55" s="83">
        <f t="shared" si="67"/>
        <v>433449.95</v>
      </c>
      <c r="BI55" s="84">
        <f>BI9+BI13+BI17+BI21+BI25+BI29+BI33+BI50</f>
        <v>467408.05000000005</v>
      </c>
      <c r="BJ55" s="205">
        <f>BJ9+BJ13+BJ17+BJ21+BJ25+BJ29+BJ33+BJ50</f>
        <v>419711.92000000004</v>
      </c>
      <c r="BK55" s="206">
        <f t="shared" ref="BI55:BL56" si="69">BK9+BK13+BK17+BK21+BK25+BK29+BK33+BK50</f>
        <v>456195.96</v>
      </c>
      <c r="BL55" s="151">
        <f t="shared" si="69"/>
        <v>0</v>
      </c>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row>
    <row r="56" spans="1:328" s="38" customFormat="1" ht="9.75" customHeight="1">
      <c r="A56" s="37"/>
      <c r="B56" s="37" t="s">
        <v>20</v>
      </c>
      <c r="C56" s="38">
        <v>1573.1</v>
      </c>
      <c r="D56" s="38">
        <v>1567.88</v>
      </c>
      <c r="E56" s="38">
        <v>1552.69</v>
      </c>
      <c r="F56" s="38">
        <v>1550.61</v>
      </c>
      <c r="G56" s="38">
        <v>1549.47</v>
      </c>
      <c r="H56" s="38">
        <v>1534.37</v>
      </c>
      <c r="I56" s="38">
        <v>1428.35</v>
      </c>
      <c r="J56" s="38">
        <v>1453.35</v>
      </c>
      <c r="K56" s="38">
        <v>1455.24</v>
      </c>
      <c r="L56" s="38">
        <v>1435.75</v>
      </c>
      <c r="M56" s="38">
        <v>1479.66</v>
      </c>
      <c r="N56" s="38">
        <v>1433.64</v>
      </c>
      <c r="O56" s="38">
        <f t="shared" ref="O56:AI56" si="70">O10+O14+O18+O22+O26+O30+O51</f>
        <v>1457.6</v>
      </c>
      <c r="P56" s="38">
        <f t="shared" si="70"/>
        <v>1434.83</v>
      </c>
      <c r="Q56" s="38">
        <f t="shared" si="70"/>
        <v>1447.58</v>
      </c>
      <c r="R56" s="38">
        <f t="shared" si="70"/>
        <v>1429.1100000000001</v>
      </c>
      <c r="S56" s="38">
        <f t="shared" si="70"/>
        <v>1458.4</v>
      </c>
      <c r="T56" s="38">
        <f t="shared" si="70"/>
        <v>1417.68</v>
      </c>
      <c r="U56" s="38">
        <f t="shared" si="70"/>
        <v>1474.28</v>
      </c>
      <c r="V56" s="38">
        <f t="shared" si="70"/>
        <v>1441.3799999999997</v>
      </c>
      <c r="W56" s="38">
        <f t="shared" si="70"/>
        <v>1494.35</v>
      </c>
      <c r="X56" s="38">
        <f t="shared" si="70"/>
        <v>1451.76</v>
      </c>
      <c r="Y56" s="38">
        <f t="shared" si="70"/>
        <v>1496.38</v>
      </c>
      <c r="Z56" s="38">
        <f t="shared" si="70"/>
        <v>1461.25</v>
      </c>
      <c r="AA56" s="38">
        <f t="shared" si="70"/>
        <v>1478.8799999999999</v>
      </c>
      <c r="AB56" s="38">
        <f t="shared" si="70"/>
        <v>1461.1999999999998</v>
      </c>
      <c r="AC56" s="38">
        <f t="shared" si="70"/>
        <v>1440.5300000000002</v>
      </c>
      <c r="AD56" s="38">
        <f t="shared" si="70"/>
        <v>1439.44</v>
      </c>
      <c r="AE56" s="38">
        <f t="shared" si="70"/>
        <v>1450.51</v>
      </c>
      <c r="AF56" s="38">
        <f t="shared" si="70"/>
        <v>1455.2000000000003</v>
      </c>
      <c r="AG56" s="38">
        <f t="shared" si="70"/>
        <v>1496.77</v>
      </c>
      <c r="AH56" s="38">
        <f t="shared" si="70"/>
        <v>1446.73</v>
      </c>
      <c r="AI56" s="39">
        <f t="shared" si="70"/>
        <v>1448.85</v>
      </c>
      <c r="AJ56" s="39">
        <f>AJ10+AJ14+AJ18+AJ22+AJ26+AJ30+AJ34+AJ51</f>
        <v>1420.42</v>
      </c>
      <c r="AK56" s="39">
        <f>AK10+AK14+AK18+AK26+AK34+AK51</f>
        <v>1452.26</v>
      </c>
      <c r="AL56" s="39">
        <f t="shared" ref="AL56:BH56" si="71">AL10+AL14+AL18+AL22+AL26+AL30+AL34+AL51</f>
        <v>1416.1999999999998</v>
      </c>
      <c r="AM56" s="39">
        <f t="shared" si="71"/>
        <v>1466.2600000000002</v>
      </c>
      <c r="AN56" s="39">
        <f t="shared" si="71"/>
        <v>1427.33</v>
      </c>
      <c r="AO56" s="39">
        <f t="shared" si="71"/>
        <v>1449.69</v>
      </c>
      <c r="AP56" s="39">
        <f t="shared" si="71"/>
        <v>1429.74</v>
      </c>
      <c r="AQ56" s="39">
        <f t="shared" si="71"/>
        <v>1488.07</v>
      </c>
      <c r="AR56" s="39">
        <f t="shared" si="71"/>
        <v>1450.8</v>
      </c>
      <c r="AS56" s="39">
        <f t="shared" si="71"/>
        <v>1338.97</v>
      </c>
      <c r="AT56" s="39">
        <f t="shared" si="71"/>
        <v>1316.8899999999999</v>
      </c>
      <c r="AU56" s="39">
        <f t="shared" si="71"/>
        <v>1415.94</v>
      </c>
      <c r="AV56" s="85">
        <f t="shared" si="71"/>
        <v>1366.68</v>
      </c>
      <c r="AW56" s="86">
        <f t="shared" si="71"/>
        <v>1465.02</v>
      </c>
      <c r="AX56" s="85">
        <f t="shared" si="71"/>
        <v>1439.2900000000002</v>
      </c>
      <c r="AY56" s="86">
        <f>AY10+AY14+AY18+AY22+AY26+AY30+AY34+AY51</f>
        <v>1566.08</v>
      </c>
      <c r="AZ56" s="39">
        <f>AZ10+AZ14+AZ18+AZ22+AZ26+AZ30+AZ34+AZ51</f>
        <v>1554.0500000000002</v>
      </c>
      <c r="BA56" s="97">
        <f>BA10+BA14+BA18+BA22+BA26+BA30+BA34+BA51+21.82</f>
        <v>1592.62</v>
      </c>
      <c r="BB56" s="98">
        <f>BB10+BB14+BB18+BB22+BB26+BB30+BB34+BB51+22.34</f>
        <v>1571.59</v>
      </c>
      <c r="BC56" s="97">
        <f>BC10+BC14+BC18+BC22+BC26+BC30+BC34+BC51</f>
        <v>1774.0176999999999</v>
      </c>
      <c r="BD56" s="98">
        <f>BD10+BD14+BD18+BD22+BD26+BD30+BD34+BD51</f>
        <v>1782.2389999999998</v>
      </c>
      <c r="BE56" s="97">
        <f>BE10+BE14+BE18+BE22+BE26+BE30+BE34+BE51</f>
        <v>1755.1440000000002</v>
      </c>
      <c r="BF56" s="134">
        <f>BF10+BF14+BF18+BF22+BF26+BF30+BF34+BF51</f>
        <v>1799.84</v>
      </c>
      <c r="BG56" s="86">
        <f t="shared" si="71"/>
        <v>1899.33</v>
      </c>
      <c r="BH56" s="85">
        <f t="shared" si="71"/>
        <v>1865.06</v>
      </c>
      <c r="BI56" s="86">
        <f t="shared" si="69"/>
        <v>1904.7199999999998</v>
      </c>
      <c r="BJ56" s="207">
        <f t="shared" si="69"/>
        <v>1846.21</v>
      </c>
      <c r="BK56" s="208">
        <f t="shared" si="69"/>
        <v>1846.69</v>
      </c>
      <c r="BL56" s="152">
        <f t="shared" si="69"/>
        <v>0</v>
      </c>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row>
    <row r="57" spans="1:328" s="35" customFormat="1" ht="9.75" customHeight="1">
      <c r="A57" s="34"/>
      <c r="B57" s="34" t="s">
        <v>18</v>
      </c>
      <c r="C57" s="35">
        <f t="shared" ref="C57:U57" si="72">(C55/C56)</f>
        <v>209.58108194011825</v>
      </c>
      <c r="D57" s="35">
        <f t="shared" si="72"/>
        <v>194.54741434293439</v>
      </c>
      <c r="E57" s="35">
        <f t="shared" si="72"/>
        <v>211.11361572496762</v>
      </c>
      <c r="F57" s="35">
        <f t="shared" si="72"/>
        <v>196.57812086856143</v>
      </c>
      <c r="G57" s="35">
        <f t="shared" si="72"/>
        <v>209.53874550652804</v>
      </c>
      <c r="H57" s="35">
        <f t="shared" si="72"/>
        <v>194.501978010519</v>
      </c>
      <c r="I57" s="35">
        <f t="shared" si="72"/>
        <v>225.3544299366402</v>
      </c>
      <c r="J57" s="35">
        <f t="shared" si="72"/>
        <v>204.6582034609695</v>
      </c>
      <c r="K57" s="35">
        <f t="shared" si="72"/>
        <v>219.95203540309501</v>
      </c>
      <c r="L57" s="35">
        <f t="shared" si="72"/>
        <v>207.67543095942887</v>
      </c>
      <c r="M57" s="35">
        <f t="shared" si="72"/>
        <v>215.85702120757469</v>
      </c>
      <c r="N57" s="35">
        <f t="shared" si="72"/>
        <v>204.84500990485756</v>
      </c>
      <c r="O57" s="35">
        <f t="shared" si="72"/>
        <v>214.79967069154776</v>
      </c>
      <c r="P57" s="35">
        <f t="shared" si="72"/>
        <v>199.98606106646781</v>
      </c>
      <c r="Q57" s="35">
        <f t="shared" si="72"/>
        <v>214.34255792425981</v>
      </c>
      <c r="R57" s="35">
        <f t="shared" si="72"/>
        <v>199.82646542253568</v>
      </c>
      <c r="S57" s="35">
        <f t="shared" si="72"/>
        <v>214.15523861766317</v>
      </c>
      <c r="T57" s="35">
        <f t="shared" si="72"/>
        <v>202.66844421872355</v>
      </c>
      <c r="U57" s="35">
        <f t="shared" si="72"/>
        <v>217.11004693816642</v>
      </c>
      <c r="V57" s="35">
        <f t="shared" ref="V57:AB57" si="73">(V55/V56)</f>
        <v>205.26162427673484</v>
      </c>
      <c r="W57" s="35">
        <f t="shared" si="73"/>
        <v>215.26282330110084</v>
      </c>
      <c r="X57" s="35">
        <f t="shared" si="73"/>
        <v>204.27205598721551</v>
      </c>
      <c r="Y57" s="35">
        <f t="shared" si="73"/>
        <v>218.80271054143998</v>
      </c>
      <c r="Z57" s="35">
        <f t="shared" si="73"/>
        <v>206.96047904191616</v>
      </c>
      <c r="AA57" s="35">
        <f t="shared" si="73"/>
        <v>227.51676944714922</v>
      </c>
      <c r="AB57" s="35">
        <f t="shared" si="73"/>
        <v>213.20284697508899</v>
      </c>
      <c r="AC57" s="35">
        <f>(AC55/AC56)</f>
        <v>241.43891484384216</v>
      </c>
      <c r="AD57" s="35">
        <f>(AD55/AD56)</f>
        <v>229.5955371533374</v>
      </c>
      <c r="AE57" s="35">
        <f>(AE55/AE56)</f>
        <v>244.73943647406773</v>
      </c>
      <c r="AF57" s="35">
        <f>(AF55/AF56)</f>
        <v>223.47237493128088</v>
      </c>
      <c r="AG57" s="35">
        <f t="shared" ref="AG57:AL57" si="74">(AG55/AG56)</f>
        <v>232.34498286309855</v>
      </c>
      <c r="AH57" s="35">
        <f t="shared" si="74"/>
        <v>217.9204136224451</v>
      </c>
      <c r="AI57" s="35">
        <f t="shared" si="74"/>
        <v>230.53525209649032</v>
      </c>
      <c r="AJ57" s="35">
        <f>(AJ55/AJ56)</f>
        <v>213.44391095591445</v>
      </c>
      <c r="AK57" s="35">
        <f t="shared" si="74"/>
        <v>222.9242697588586</v>
      </c>
      <c r="AL57" s="35">
        <f t="shared" si="74"/>
        <v>207.83646377630282</v>
      </c>
      <c r="AM57" s="35">
        <f>(AM55/AM56)</f>
        <v>215.0948672131818</v>
      </c>
      <c r="AN57" s="35">
        <f>(AN55/AN56)</f>
        <v>200.47991704791465</v>
      </c>
      <c r="AO57" s="35">
        <f t="shared" ref="AO57:AV57" si="75">(AO55/AO56)</f>
        <v>223.90580055046252</v>
      </c>
      <c r="AP57" s="35">
        <f t="shared" si="75"/>
        <v>208.43649894386391</v>
      </c>
      <c r="AQ57" s="35">
        <f t="shared" si="75"/>
        <v>224.73808355789714</v>
      </c>
      <c r="AR57" s="36">
        <f t="shared" si="75"/>
        <v>215.55417700578991</v>
      </c>
      <c r="AS57" s="36">
        <f t="shared" si="75"/>
        <v>264.66014921917593</v>
      </c>
      <c r="AT57" s="36">
        <f t="shared" si="75"/>
        <v>247.71621016182067</v>
      </c>
      <c r="AU57" s="36">
        <f t="shared" si="75"/>
        <v>257.74679718067148</v>
      </c>
      <c r="AV57" s="83">
        <f t="shared" si="75"/>
        <v>243.92323001726811</v>
      </c>
      <c r="AW57" s="84">
        <f t="shared" ref="AW57:BH57" si="76">(AW55/AW56)</f>
        <v>262.51313975235831</v>
      </c>
      <c r="AX57" s="83">
        <f t="shared" si="76"/>
        <v>244.43023990995556</v>
      </c>
      <c r="AY57" s="84">
        <f t="shared" si="76"/>
        <v>255.34519309358399</v>
      </c>
      <c r="AZ57" s="36">
        <f t="shared" si="76"/>
        <v>239.33592870242268</v>
      </c>
      <c r="BA57" s="84">
        <f t="shared" si="76"/>
        <v>268.06771232309029</v>
      </c>
      <c r="BB57" s="36">
        <f t="shared" si="76"/>
        <v>250.75242270566753</v>
      </c>
      <c r="BC57" s="84">
        <f>(BC55/BC56)</f>
        <v>251.92103212949905</v>
      </c>
      <c r="BD57" s="36">
        <f>(BD55/BD56)</f>
        <v>233.97336720832618</v>
      </c>
      <c r="BE57" s="84">
        <f>(BE55/BE56)</f>
        <v>264.94268846316879</v>
      </c>
      <c r="BF57" s="83">
        <f t="shared" si="76"/>
        <v>238.72588674548851</v>
      </c>
      <c r="BG57" s="84">
        <f t="shared" si="76"/>
        <v>246.4933634492163</v>
      </c>
      <c r="BH57" s="83">
        <f t="shared" si="76"/>
        <v>232.40536497485337</v>
      </c>
      <c r="BI57" s="84">
        <f>(BI55/BI56)</f>
        <v>245.39462493174855</v>
      </c>
      <c r="BJ57" s="209">
        <f>(BJ55/BJ56)</f>
        <v>227.33704183164431</v>
      </c>
      <c r="BK57" s="206">
        <f>(BK55/BK56)</f>
        <v>247.03440209239233</v>
      </c>
      <c r="BL57" s="153" t="e">
        <f>(BL55/BL56)</f>
        <v>#DIV/0!</v>
      </c>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row>
    <row r="58" spans="1:328" s="35" customFormat="1" ht="0.75" customHeight="1">
      <c r="A58" s="40"/>
      <c r="B58" s="40"/>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87"/>
      <c r="AW58" s="88"/>
      <c r="AX58" s="87"/>
      <c r="AY58" s="88"/>
      <c r="AZ58" s="58"/>
      <c r="BA58" s="88"/>
      <c r="BB58" s="58"/>
      <c r="BC58" s="88"/>
      <c r="BD58" s="58"/>
      <c r="BE58" s="88"/>
      <c r="BF58" s="87"/>
      <c r="BG58" s="88"/>
      <c r="BH58" s="87"/>
      <c r="BI58" s="88"/>
      <c r="BJ58" s="210"/>
      <c r="BK58" s="211"/>
      <c r="BL58" s="154"/>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row>
    <row r="59" spans="1:328" s="35" customFormat="1" ht="0.75" customHeight="1">
      <c r="A59" s="34"/>
      <c r="B59" s="34"/>
      <c r="AR59" s="42"/>
      <c r="AS59" s="42"/>
      <c r="AT59" s="42"/>
      <c r="AU59" s="42"/>
      <c r="AV59" s="42"/>
      <c r="AW59" s="42"/>
      <c r="AX59" s="42"/>
      <c r="AY59" s="42"/>
      <c r="AZ59" s="42"/>
      <c r="BA59" s="42"/>
      <c r="BB59" s="42"/>
      <c r="BC59" s="42"/>
      <c r="BD59" s="42"/>
      <c r="BE59" s="42"/>
      <c r="BF59" s="91"/>
      <c r="BG59" s="42"/>
      <c r="BH59" s="91"/>
      <c r="BI59" s="42"/>
      <c r="BJ59" s="212"/>
      <c r="BK59" s="213"/>
      <c r="BL59" s="155"/>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row>
    <row r="60" spans="1:328" s="95" customFormat="1" ht="12.75" customHeight="1">
      <c r="A60" s="93" t="s">
        <v>12</v>
      </c>
      <c r="B60" s="94"/>
      <c r="C60" s="94"/>
      <c r="D60" s="94"/>
      <c r="E60" s="94"/>
      <c r="F60" s="94"/>
      <c r="G60" s="94"/>
      <c r="H60" s="94"/>
      <c r="I60" s="94"/>
      <c r="J60" s="94"/>
      <c r="K60" s="94"/>
      <c r="L60" s="94"/>
      <c r="M60" s="94"/>
      <c r="N60" s="94"/>
      <c r="O60" s="94"/>
      <c r="P60" s="94"/>
      <c r="Q60" s="94"/>
      <c r="R60" s="94"/>
      <c r="S60" s="94"/>
      <c r="T60" s="94"/>
      <c r="U60" s="94"/>
      <c r="V60" s="94"/>
      <c r="AR60" s="96"/>
      <c r="AS60" s="96"/>
      <c r="AT60" s="96"/>
      <c r="AU60" s="96"/>
      <c r="AV60" s="96"/>
      <c r="AW60" s="96"/>
      <c r="AX60" s="96"/>
      <c r="AY60" s="96"/>
      <c r="AZ60" s="96"/>
      <c r="BA60" s="96"/>
      <c r="BB60" s="96"/>
      <c r="BC60" s="96"/>
      <c r="BD60" s="96"/>
      <c r="BE60" s="96"/>
      <c r="BF60" s="110"/>
      <c r="BG60" s="96"/>
      <c r="BH60" s="110"/>
      <c r="BI60" s="96"/>
      <c r="BJ60" s="214"/>
      <c r="BK60" s="192"/>
      <c r="BL60" s="156"/>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row>
    <row r="61" spans="1:328" s="17" customFormat="1">
      <c r="A61" s="47" t="s">
        <v>13</v>
      </c>
      <c r="B61" s="47"/>
      <c r="C61" s="57"/>
      <c r="D61" s="57"/>
      <c r="E61" s="57"/>
      <c r="F61" s="57"/>
      <c r="G61" s="57"/>
      <c r="H61" s="57"/>
      <c r="I61" s="57"/>
      <c r="J61" s="57"/>
      <c r="K61" s="57"/>
      <c r="L61" s="57"/>
      <c r="M61" s="49"/>
      <c r="N61" s="49"/>
      <c r="O61" s="49"/>
      <c r="P61" s="49"/>
      <c r="Q61" s="49"/>
      <c r="R61" s="49"/>
      <c r="S61" s="49"/>
      <c r="T61" s="49"/>
      <c r="U61" s="49"/>
      <c r="V61" s="49"/>
      <c r="W61" s="49"/>
      <c r="X61" s="49"/>
      <c r="Y61" s="49"/>
      <c r="Z61" s="49"/>
      <c r="AA61" s="49"/>
      <c r="AB61" s="49"/>
      <c r="AC61" s="49"/>
      <c r="AD61" s="49"/>
      <c r="AE61" s="49"/>
      <c r="AF61" s="49"/>
      <c r="AG61" s="49"/>
      <c r="AH61" s="49"/>
      <c r="AI61" s="51"/>
      <c r="AJ61" s="51"/>
      <c r="AK61" s="51"/>
      <c r="AL61" s="51"/>
      <c r="AM61" s="51"/>
      <c r="AN61" s="51"/>
      <c r="AO61" s="51"/>
      <c r="AP61" s="51"/>
      <c r="AQ61" s="51"/>
      <c r="AR61" s="51"/>
      <c r="AS61" s="51"/>
      <c r="AT61" s="51"/>
      <c r="AU61" s="51"/>
      <c r="AV61" s="65"/>
      <c r="AW61" s="66"/>
      <c r="AX61" s="65"/>
      <c r="AY61" s="66"/>
      <c r="AZ61" s="51"/>
      <c r="BA61" s="66"/>
      <c r="BB61" s="51"/>
      <c r="BC61" s="66"/>
      <c r="BD61" s="51"/>
      <c r="BE61" s="66"/>
      <c r="BF61" s="65"/>
      <c r="BG61" s="64"/>
      <c r="BH61" s="63"/>
      <c r="BI61" s="64"/>
      <c r="BJ61" s="182"/>
      <c r="BK61" s="183"/>
      <c r="BL61" s="137"/>
      <c r="BM61" s="19"/>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row>
    <row r="62" spans="1:328" s="16" customFormat="1" ht="9.75" customHeight="1">
      <c r="A62" s="50"/>
      <c r="B62" s="50" t="s">
        <v>17</v>
      </c>
      <c r="C62" s="49">
        <v>6562</v>
      </c>
      <c r="D62" s="49">
        <v>7757</v>
      </c>
      <c r="E62" s="49">
        <v>6021</v>
      </c>
      <c r="F62" s="49">
        <v>6885</v>
      </c>
      <c r="G62" s="49">
        <v>5494</v>
      </c>
      <c r="H62" s="49">
        <v>6455</v>
      </c>
      <c r="I62" s="49">
        <v>5746</v>
      </c>
      <c r="J62" s="49">
        <v>6781</v>
      </c>
      <c r="K62" s="49">
        <v>6309</v>
      </c>
      <c r="L62" s="49">
        <v>7328</v>
      </c>
      <c r="M62" s="49">
        <v>7600</v>
      </c>
      <c r="N62" s="49">
        <v>8184</v>
      </c>
      <c r="O62" s="49">
        <v>7779</v>
      </c>
      <c r="P62" s="49">
        <v>8666</v>
      </c>
      <c r="Q62" s="49">
        <v>8060</v>
      </c>
      <c r="R62" s="49">
        <v>8724</v>
      </c>
      <c r="S62" s="49">
        <f>7953+44</f>
        <v>7997</v>
      </c>
      <c r="T62" s="49">
        <f>8746+15</f>
        <v>8761</v>
      </c>
      <c r="U62" s="49">
        <v>8214</v>
      </c>
      <c r="V62" s="49">
        <v>9338</v>
      </c>
      <c r="W62" s="49">
        <f>7872+44</f>
        <v>7916</v>
      </c>
      <c r="X62" s="49">
        <v>8547</v>
      </c>
      <c r="Y62" s="49">
        <v>7956</v>
      </c>
      <c r="Z62" s="49">
        <v>8497</v>
      </c>
      <c r="AA62" s="49">
        <v>7835</v>
      </c>
      <c r="AB62" s="49">
        <v>8315</v>
      </c>
      <c r="AC62" s="49">
        <v>8114</v>
      </c>
      <c r="AD62" s="49">
        <v>8960</v>
      </c>
      <c r="AE62" s="49">
        <v>8260</v>
      </c>
      <c r="AF62" s="49">
        <v>8659</v>
      </c>
      <c r="AG62" s="49">
        <v>8084</v>
      </c>
      <c r="AH62" s="49">
        <v>8775</v>
      </c>
      <c r="AI62" s="51">
        <v>8577</v>
      </c>
      <c r="AJ62" s="51">
        <v>8895</v>
      </c>
      <c r="AK62" s="51">
        <v>8581</v>
      </c>
      <c r="AL62" s="51">
        <v>9814</v>
      </c>
      <c r="AM62" s="51">
        <v>8756</v>
      </c>
      <c r="AN62" s="51">
        <v>10248</v>
      </c>
      <c r="AO62" s="51">
        <v>9760</v>
      </c>
      <c r="AP62" s="51">
        <v>10548</v>
      </c>
      <c r="AQ62" s="51">
        <v>10122</v>
      </c>
      <c r="AR62" s="51">
        <v>10434</v>
      </c>
      <c r="AS62" s="51">
        <v>11070</v>
      </c>
      <c r="AT62" s="51">
        <v>11746</v>
      </c>
      <c r="AU62" s="51">
        <v>11352</v>
      </c>
      <c r="AV62" s="65">
        <v>12156</v>
      </c>
      <c r="AW62" s="66">
        <v>11411</v>
      </c>
      <c r="AX62" s="65">
        <v>12215</v>
      </c>
      <c r="AY62" s="66">
        <v>11546</v>
      </c>
      <c r="AZ62" s="51">
        <v>12284</v>
      </c>
      <c r="BA62" s="66">
        <v>11825</v>
      </c>
      <c r="BB62" s="51">
        <v>13037</v>
      </c>
      <c r="BC62" s="66">
        <v>11998.09</v>
      </c>
      <c r="BD62" s="51">
        <v>12847.2</v>
      </c>
      <c r="BE62" s="66">
        <v>12052.87</v>
      </c>
      <c r="BF62" s="65">
        <v>12954.24</v>
      </c>
      <c r="BG62" s="116">
        <v>12341.84</v>
      </c>
      <c r="BH62" s="115">
        <v>12938.52</v>
      </c>
      <c r="BI62" s="116">
        <v>12842.660000000002</v>
      </c>
      <c r="BJ62" s="184">
        <v>13085.49</v>
      </c>
      <c r="BK62" s="185">
        <v>12611.57</v>
      </c>
      <c r="BL62" s="138"/>
      <c r="BM62" s="24"/>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row>
    <row r="63" spans="1:328" s="16" customFormat="1" ht="9.75" customHeight="1">
      <c r="A63" s="53"/>
      <c r="B63" s="53" t="s">
        <v>20</v>
      </c>
      <c r="C63" s="52">
        <v>78.05</v>
      </c>
      <c r="D63" s="52">
        <v>80.290000000000006</v>
      </c>
      <c r="E63" s="52">
        <v>82.55</v>
      </c>
      <c r="F63" s="52">
        <v>81.59</v>
      </c>
      <c r="G63" s="52">
        <v>83.57</v>
      </c>
      <c r="H63" s="52">
        <v>82.89</v>
      </c>
      <c r="I63" s="52">
        <v>83.77</v>
      </c>
      <c r="J63" s="52">
        <v>84.37</v>
      </c>
      <c r="K63" s="52">
        <v>81.11</v>
      </c>
      <c r="L63" s="52">
        <v>79.72</v>
      </c>
      <c r="M63" s="52">
        <v>80.45</v>
      </c>
      <c r="N63" s="52">
        <v>78.540000000000006</v>
      </c>
      <c r="O63" s="52">
        <v>79.08</v>
      </c>
      <c r="P63" s="52">
        <v>81.239999999999995</v>
      </c>
      <c r="Q63" s="52">
        <v>86.03</v>
      </c>
      <c r="R63" s="52">
        <v>85.13</v>
      </c>
      <c r="S63" s="52">
        <v>85.31</v>
      </c>
      <c r="T63" s="52">
        <v>83.46</v>
      </c>
      <c r="U63" s="52">
        <v>84.01</v>
      </c>
      <c r="V63" s="52">
        <v>83.29</v>
      </c>
      <c r="W63" s="52">
        <v>79.819999999999993</v>
      </c>
      <c r="X63" s="52">
        <v>84.13</v>
      </c>
      <c r="Y63" s="52">
        <v>79.349999999999994</v>
      </c>
      <c r="Z63" s="52">
        <v>81</v>
      </c>
      <c r="AA63" s="52">
        <v>86.32</v>
      </c>
      <c r="AB63" s="52">
        <v>88.01</v>
      </c>
      <c r="AC63" s="52">
        <v>100.36</v>
      </c>
      <c r="AD63" s="52">
        <v>97.91</v>
      </c>
      <c r="AE63" s="52">
        <v>98.8</v>
      </c>
      <c r="AF63" s="52">
        <v>94.88</v>
      </c>
      <c r="AG63" s="52">
        <v>99.92</v>
      </c>
      <c r="AH63" s="52">
        <v>102.66</v>
      </c>
      <c r="AI63" s="54">
        <v>100.5</v>
      </c>
      <c r="AJ63" s="54">
        <v>98.69</v>
      </c>
      <c r="AK63" s="54">
        <v>93.99</v>
      </c>
      <c r="AL63" s="54">
        <v>97.7</v>
      </c>
      <c r="AM63" s="54">
        <v>92.91</v>
      </c>
      <c r="AN63" s="54">
        <v>97.74</v>
      </c>
      <c r="AO63" s="54">
        <v>104.3</v>
      </c>
      <c r="AP63" s="54">
        <v>103.35</v>
      </c>
      <c r="AQ63" s="54">
        <v>102.71</v>
      </c>
      <c r="AR63" s="54">
        <v>107.58</v>
      </c>
      <c r="AS63" s="54">
        <v>102.81</v>
      </c>
      <c r="AT63" s="54">
        <v>100.96</v>
      </c>
      <c r="AU63" s="54">
        <v>101.52</v>
      </c>
      <c r="AV63" s="67">
        <v>97.91</v>
      </c>
      <c r="AW63" s="68">
        <v>118.83</v>
      </c>
      <c r="AX63" s="67">
        <v>115.77</v>
      </c>
      <c r="AY63" s="68">
        <v>110.75</v>
      </c>
      <c r="AZ63" s="54">
        <v>107.42</v>
      </c>
      <c r="BA63" s="68">
        <v>109.64</v>
      </c>
      <c r="BB63" s="54">
        <v>109.97</v>
      </c>
      <c r="BC63" s="68">
        <v>116.063</v>
      </c>
      <c r="BD63" s="54">
        <v>116.48699999999999</v>
      </c>
      <c r="BE63" s="68">
        <v>124.1322</v>
      </c>
      <c r="BF63" s="67">
        <v>126.4</v>
      </c>
      <c r="BG63" s="121">
        <v>124.4</v>
      </c>
      <c r="BH63" s="120">
        <v>126.06</v>
      </c>
      <c r="BI63" s="121">
        <v>122.51</v>
      </c>
      <c r="BJ63" s="186">
        <v>121.26</v>
      </c>
      <c r="BK63" s="187">
        <v>120.64</v>
      </c>
      <c r="BL63" s="139"/>
      <c r="BM63" s="24"/>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row>
    <row r="64" spans="1:328" s="17" customFormat="1" ht="9.75" customHeight="1">
      <c r="A64" s="50"/>
      <c r="B64" s="50" t="s">
        <v>18</v>
      </c>
      <c r="C64" s="49">
        <f t="shared" ref="C64:U64" si="77">(C62/C63)</f>
        <v>84.074311338885337</v>
      </c>
      <c r="D64" s="49">
        <f t="shared" si="77"/>
        <v>96.612280483248213</v>
      </c>
      <c r="E64" s="49">
        <f t="shared" si="77"/>
        <v>72.937613567534825</v>
      </c>
      <c r="F64" s="49">
        <f t="shared" si="77"/>
        <v>84.385341340850587</v>
      </c>
      <c r="G64" s="49">
        <f t="shared" si="77"/>
        <v>65.741294722986723</v>
      </c>
      <c r="H64" s="49">
        <f t="shared" si="77"/>
        <v>77.874291229340088</v>
      </c>
      <c r="I64" s="49">
        <f t="shared" si="77"/>
        <v>68.592574907484789</v>
      </c>
      <c r="J64" s="49">
        <f t="shared" si="77"/>
        <v>80.372170202678674</v>
      </c>
      <c r="K64" s="49">
        <f t="shared" si="77"/>
        <v>77.78325730489459</v>
      </c>
      <c r="L64" s="49">
        <f t="shared" si="77"/>
        <v>91.921726041144012</v>
      </c>
      <c r="M64" s="49">
        <f t="shared" si="77"/>
        <v>94.468614045991302</v>
      </c>
      <c r="N64" s="49">
        <f t="shared" si="77"/>
        <v>104.20168067226889</v>
      </c>
      <c r="O64" s="49">
        <f t="shared" si="77"/>
        <v>98.36874051593324</v>
      </c>
      <c r="P64" s="49">
        <f t="shared" si="77"/>
        <v>106.67159034958149</v>
      </c>
      <c r="Q64" s="49">
        <f t="shared" si="77"/>
        <v>93.688248285481805</v>
      </c>
      <c r="R64" s="49">
        <f t="shared" si="77"/>
        <v>102.47856219898979</v>
      </c>
      <c r="S64" s="49">
        <f t="shared" si="77"/>
        <v>93.740475911382021</v>
      </c>
      <c r="T64" s="49">
        <f t="shared" si="77"/>
        <v>104.97244188832974</v>
      </c>
      <c r="U64" s="49">
        <f t="shared" si="77"/>
        <v>97.77407451493869</v>
      </c>
      <c r="V64" s="49">
        <f t="shared" ref="V64:AB64" si="78">(V62/V63)</f>
        <v>112.11429943570656</v>
      </c>
      <c r="W64" s="49">
        <f t="shared" si="78"/>
        <v>99.173139564019053</v>
      </c>
      <c r="X64" s="49">
        <f t="shared" si="78"/>
        <v>101.59277308926661</v>
      </c>
      <c r="Y64" s="49">
        <f t="shared" si="78"/>
        <v>100.26465028355388</v>
      </c>
      <c r="Z64" s="49">
        <f t="shared" si="78"/>
        <v>104.90123456790124</v>
      </c>
      <c r="AA64" s="49">
        <f t="shared" si="78"/>
        <v>90.766913809082496</v>
      </c>
      <c r="AB64" s="49">
        <f t="shared" si="78"/>
        <v>94.477900238609237</v>
      </c>
      <c r="AC64" s="49">
        <f>(AC62/AC63)</f>
        <v>80.84894380231168</v>
      </c>
      <c r="AD64" s="49">
        <f>(AD62/AD63)</f>
        <v>91.512613624757435</v>
      </c>
      <c r="AE64" s="49">
        <f>(AE62/AE63)</f>
        <v>83.603238866396765</v>
      </c>
      <c r="AF64" s="49">
        <f>(AF62/AF63)</f>
        <v>91.26264755480608</v>
      </c>
      <c r="AG64" s="49">
        <f t="shared" ref="AG64:AL64" si="79">(AG62/AG63)</f>
        <v>80.904723779023215</v>
      </c>
      <c r="AH64" s="49">
        <f t="shared" si="79"/>
        <v>85.476329631794272</v>
      </c>
      <c r="AI64" s="51">
        <f t="shared" si="79"/>
        <v>85.343283582089555</v>
      </c>
      <c r="AJ64" s="51">
        <f t="shared" si="79"/>
        <v>90.130712331543222</v>
      </c>
      <c r="AK64" s="51">
        <f t="shared" si="79"/>
        <v>91.296946483668478</v>
      </c>
      <c r="AL64" s="51">
        <f t="shared" si="79"/>
        <v>100.4503582395087</v>
      </c>
      <c r="AM64" s="51">
        <f>(AM62/AM63)</f>
        <v>94.241739317619206</v>
      </c>
      <c r="AN64" s="51">
        <f>(AN62/AN63)</f>
        <v>104.84960098219767</v>
      </c>
      <c r="AO64" s="51">
        <f t="shared" ref="AO64:AV64" si="80">(AO62/AO63)</f>
        <v>93.576222435282844</v>
      </c>
      <c r="AP64" s="51">
        <f t="shared" si="80"/>
        <v>102.06095791001452</v>
      </c>
      <c r="AQ64" s="51">
        <f t="shared" si="80"/>
        <v>98.549313601402005</v>
      </c>
      <c r="AR64" s="51">
        <f t="shared" si="80"/>
        <v>96.988287785833805</v>
      </c>
      <c r="AS64" s="51">
        <f t="shared" si="80"/>
        <v>107.67435074409104</v>
      </c>
      <c r="AT64" s="51">
        <f t="shared" si="80"/>
        <v>116.34310618066561</v>
      </c>
      <c r="AU64" s="51">
        <f t="shared" si="80"/>
        <v>111.82033096926715</v>
      </c>
      <c r="AV64" s="65">
        <f t="shared" si="80"/>
        <v>124.15483607394546</v>
      </c>
      <c r="AW64" s="66">
        <f t="shared" ref="AW64:BH64" si="81">(AW62/AW63)</f>
        <v>96.027939072624761</v>
      </c>
      <c r="AX64" s="65">
        <f t="shared" si="81"/>
        <v>105.51092683769544</v>
      </c>
      <c r="AY64" s="66">
        <f t="shared" ref="AY64:BD64" si="82">(AY62/AY63)</f>
        <v>104.2528216704289</v>
      </c>
      <c r="AZ64" s="51">
        <f t="shared" si="82"/>
        <v>114.35486873952709</v>
      </c>
      <c r="BA64" s="66">
        <f t="shared" si="82"/>
        <v>107.85297336738417</v>
      </c>
      <c r="BB64" s="51">
        <f t="shared" si="82"/>
        <v>118.55051377648449</v>
      </c>
      <c r="BC64" s="66">
        <f t="shared" si="82"/>
        <v>103.37566666379466</v>
      </c>
      <c r="BD64" s="51">
        <f t="shared" si="82"/>
        <v>110.28870174354221</v>
      </c>
      <c r="BE64" s="66">
        <f t="shared" si="81"/>
        <v>97.097046535870632</v>
      </c>
      <c r="BF64" s="65">
        <f t="shared" si="81"/>
        <v>102.48607594936708</v>
      </c>
      <c r="BG64" s="116">
        <f t="shared" si="81"/>
        <v>99.210932475884235</v>
      </c>
      <c r="BH64" s="115">
        <f t="shared" si="81"/>
        <v>102.63779152784389</v>
      </c>
      <c r="BI64" s="116">
        <f>(BI62/BI63)</f>
        <v>104.82948330748511</v>
      </c>
      <c r="BJ64" s="184">
        <f>(BJ62/BJ63)</f>
        <v>107.91266699653636</v>
      </c>
      <c r="BK64" s="185">
        <f>(BK62/BK63)</f>
        <v>104.53887599469496</v>
      </c>
      <c r="BL64" s="160" t="e">
        <f>(BL62/BL63)</f>
        <v>#DIV/0!</v>
      </c>
      <c r="BM64" s="19"/>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row>
    <row r="65" spans="1:328" s="105" customFormat="1" ht="12" customHeight="1">
      <c r="A65" s="15" t="s">
        <v>14</v>
      </c>
      <c r="B65" s="93"/>
      <c r="C65" s="127"/>
      <c r="D65" s="127"/>
      <c r="E65" s="127"/>
      <c r="F65" s="127"/>
      <c r="G65" s="127"/>
      <c r="H65" s="127"/>
      <c r="I65" s="127"/>
      <c r="J65" s="127"/>
      <c r="K65" s="127"/>
      <c r="L65" s="128"/>
      <c r="AR65" s="106"/>
      <c r="AS65" s="106"/>
      <c r="AT65" s="106"/>
      <c r="AU65" s="106"/>
      <c r="AV65" s="107"/>
      <c r="AW65" s="108"/>
      <c r="AX65" s="107"/>
      <c r="AY65" s="108"/>
      <c r="AZ65" s="106"/>
      <c r="BA65" s="108"/>
      <c r="BB65" s="106"/>
      <c r="BC65" s="108"/>
      <c r="BD65" s="106"/>
      <c r="BE65" s="108"/>
      <c r="BF65" s="107"/>
      <c r="BG65" s="108"/>
      <c r="BH65" s="107"/>
      <c r="BI65" s="108"/>
      <c r="BJ65" s="215"/>
      <c r="BK65" s="191"/>
      <c r="BL65" s="157"/>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row>
    <row r="66" spans="1:328" s="94" customFormat="1" ht="12.75" customHeight="1">
      <c r="A66" s="129" t="s">
        <v>31</v>
      </c>
      <c r="B66" s="129"/>
      <c r="C66" s="130">
        <f t="shared" ref="C66:N66" si="83">(C67-C55-C62)</f>
        <v>5481</v>
      </c>
      <c r="D66" s="130">
        <f t="shared" si="83"/>
        <v>3649</v>
      </c>
      <c r="E66" s="130">
        <f t="shared" si="83"/>
        <v>5449</v>
      </c>
      <c r="F66" s="130">
        <f t="shared" si="83"/>
        <v>3744</v>
      </c>
      <c r="G66" s="130">
        <f t="shared" si="83"/>
        <v>5572</v>
      </c>
      <c r="H66" s="130">
        <f t="shared" si="83"/>
        <v>4044</v>
      </c>
      <c r="I66" s="130">
        <f t="shared" si="83"/>
        <v>5393</v>
      </c>
      <c r="J66" s="130">
        <f t="shared" si="83"/>
        <v>3931</v>
      </c>
      <c r="K66" s="130">
        <f t="shared" si="83"/>
        <v>5441</v>
      </c>
      <c r="L66" s="130">
        <f t="shared" si="83"/>
        <v>3326</v>
      </c>
      <c r="M66" s="130">
        <f t="shared" si="83"/>
        <v>5448</v>
      </c>
      <c r="N66" s="130">
        <f t="shared" si="83"/>
        <v>4016</v>
      </c>
      <c r="O66" s="130">
        <f>599+1486+127+1387+1307+231+272+187</f>
        <v>5596</v>
      </c>
      <c r="P66" s="130">
        <f>466+178+56+659+1275+207+295+111</f>
        <v>3247</v>
      </c>
      <c r="Q66" s="130">
        <f>790+1375+173+1175+1514+289+285+239</f>
        <v>5840</v>
      </c>
      <c r="R66" s="130">
        <f>365+601+49+733+1176+257+281+135</f>
        <v>3597</v>
      </c>
      <c r="S66" s="130">
        <f>784+1929+492+182+1394+1562+275+302+218</f>
        <v>7138</v>
      </c>
      <c r="T66" s="130">
        <f>410+565+385+19+528+1084+244+317+164</f>
        <v>3716</v>
      </c>
      <c r="U66" s="130">
        <f>750+760+441+208+1295+1483+236+307+237</f>
        <v>5717</v>
      </c>
      <c r="V66" s="130">
        <f>223+413+177+12+1628+950+199+279+118</f>
        <v>3999</v>
      </c>
      <c r="W66" s="130">
        <f>387+752+271+106+1449+1555+178+257+217</f>
        <v>5172</v>
      </c>
      <c r="X66" s="130">
        <f>288+595+374+90+1038+781+132+285+127</f>
        <v>3710</v>
      </c>
      <c r="Y66" s="130">
        <v>6287</v>
      </c>
      <c r="Z66" s="130">
        <v>4880</v>
      </c>
      <c r="AA66" s="130">
        <v>6907</v>
      </c>
      <c r="AB66" s="130">
        <v>4743</v>
      </c>
      <c r="AC66" s="130">
        <f t="shared" ref="AC66:AP66" si="84">AC67-AC55-AC62</f>
        <v>8296</v>
      </c>
      <c r="AD66" s="130">
        <f t="shared" si="84"/>
        <v>4266</v>
      </c>
      <c r="AE66" s="130">
        <f t="shared" si="84"/>
        <v>7340</v>
      </c>
      <c r="AF66" s="130">
        <f t="shared" si="84"/>
        <v>5086</v>
      </c>
      <c r="AG66" s="130">
        <f t="shared" si="84"/>
        <v>7379</v>
      </c>
      <c r="AH66" s="130">
        <f t="shared" si="84"/>
        <v>5553</v>
      </c>
      <c r="AI66" s="130">
        <f t="shared" si="84"/>
        <v>7601</v>
      </c>
      <c r="AJ66" s="130">
        <f t="shared" si="84"/>
        <v>7689</v>
      </c>
      <c r="AK66" s="130">
        <f t="shared" si="84"/>
        <v>8351</v>
      </c>
      <c r="AL66" s="130">
        <f t="shared" si="84"/>
        <v>5832</v>
      </c>
      <c r="AM66" s="130">
        <f t="shared" si="84"/>
        <v>8356</v>
      </c>
      <c r="AN66" s="130">
        <f t="shared" si="84"/>
        <v>6772</v>
      </c>
      <c r="AO66" s="130">
        <f t="shared" si="84"/>
        <v>9369</v>
      </c>
      <c r="AP66" s="130">
        <f t="shared" si="84"/>
        <v>7151</v>
      </c>
      <c r="AQ66" s="130">
        <f t="shared" ref="AQ66:AX66" si="85">AQ67-AQ55-AQ62</f>
        <v>10541</v>
      </c>
      <c r="AR66" s="130">
        <f t="shared" si="85"/>
        <v>7770</v>
      </c>
      <c r="AS66" s="130">
        <f t="shared" si="85"/>
        <v>8974</v>
      </c>
      <c r="AT66" s="130">
        <f t="shared" si="85"/>
        <v>8273</v>
      </c>
      <c r="AU66" s="130">
        <f t="shared" si="85"/>
        <v>8863</v>
      </c>
      <c r="AV66" s="131">
        <f t="shared" si="85"/>
        <v>7790</v>
      </c>
      <c r="AW66" s="90">
        <f t="shared" si="85"/>
        <v>9768</v>
      </c>
      <c r="AX66" s="89">
        <f t="shared" si="85"/>
        <v>11077</v>
      </c>
      <c r="AY66" s="90">
        <f t="shared" ref="AY66:BD66" si="86">AY67-AY55-AY62</f>
        <v>12200</v>
      </c>
      <c r="AZ66" s="41">
        <f t="shared" si="86"/>
        <v>11327</v>
      </c>
      <c r="BA66" s="90">
        <f t="shared" si="86"/>
        <v>15097</v>
      </c>
      <c r="BB66" s="41">
        <f t="shared" si="86"/>
        <v>13630</v>
      </c>
      <c r="BC66" s="90">
        <f t="shared" si="86"/>
        <v>16223.589999999993</v>
      </c>
      <c r="BD66" s="41">
        <f t="shared" si="86"/>
        <v>11616.769999999971</v>
      </c>
      <c r="BE66" s="90">
        <f t="shared" ref="BE66:BL66" si="87">BE67-BE55-BE62</f>
        <v>16111.63</v>
      </c>
      <c r="BF66" s="89">
        <f t="shared" si="87"/>
        <v>11339.559999999989</v>
      </c>
      <c r="BG66" s="135">
        <f t="shared" si="87"/>
        <v>17057.260000000035</v>
      </c>
      <c r="BH66" s="131">
        <f t="shared" si="87"/>
        <v>12899.129999999965</v>
      </c>
      <c r="BI66" s="135">
        <f t="shared" ref="BI66" si="88">BI67-BI55-BI62</f>
        <v>17017.309999999969</v>
      </c>
      <c r="BJ66" s="216">
        <f>BJ67-BJ55-BJ62</f>
        <v>12982.013999999957</v>
      </c>
      <c r="BK66" s="217">
        <f>BK67-BK55-BK62</f>
        <v>14576.129999999954</v>
      </c>
      <c r="BL66" s="158">
        <f t="shared" si="87"/>
        <v>0</v>
      </c>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row>
    <row r="67" spans="1:328" s="32" customFormat="1" ht="12" customHeight="1">
      <c r="A67" s="34" t="s">
        <v>15</v>
      </c>
      <c r="B67" s="34"/>
      <c r="C67" s="35">
        <v>341735</v>
      </c>
      <c r="D67" s="35">
        <v>316433</v>
      </c>
      <c r="E67" s="35">
        <v>339264</v>
      </c>
      <c r="F67" s="35">
        <v>315445</v>
      </c>
      <c r="G67" s="35">
        <v>335740</v>
      </c>
      <c r="H67" s="35">
        <v>308937</v>
      </c>
      <c r="I67" s="35">
        <v>333024</v>
      </c>
      <c r="J67" s="35">
        <v>308152</v>
      </c>
      <c r="K67" s="35">
        <v>331833</v>
      </c>
      <c r="L67" s="35">
        <v>308824</v>
      </c>
      <c r="M67" s="35">
        <v>332443</v>
      </c>
      <c r="N67" s="35">
        <v>305874</v>
      </c>
      <c r="O67" s="35">
        <f t="shared" ref="O67:AB67" si="89">O66+O62+O55</f>
        <v>326467</v>
      </c>
      <c r="P67" s="35">
        <f t="shared" si="89"/>
        <v>298859</v>
      </c>
      <c r="Q67" s="35">
        <f t="shared" si="89"/>
        <v>324178</v>
      </c>
      <c r="R67" s="35">
        <f t="shared" si="89"/>
        <v>297895</v>
      </c>
      <c r="S67" s="35">
        <f t="shared" si="89"/>
        <v>327459</v>
      </c>
      <c r="T67" s="35">
        <f t="shared" si="89"/>
        <v>299796</v>
      </c>
      <c r="U67" s="35">
        <f t="shared" si="89"/>
        <v>334012</v>
      </c>
      <c r="V67" s="35">
        <f t="shared" si="89"/>
        <v>309197</v>
      </c>
      <c r="W67" s="35">
        <f t="shared" si="89"/>
        <v>334766</v>
      </c>
      <c r="X67" s="35">
        <f t="shared" si="89"/>
        <v>308811</v>
      </c>
      <c r="Y67" s="35">
        <f t="shared" si="89"/>
        <v>341655</v>
      </c>
      <c r="Z67" s="35">
        <f t="shared" si="89"/>
        <v>315798</v>
      </c>
      <c r="AA67" s="35">
        <f t="shared" si="89"/>
        <v>351212</v>
      </c>
      <c r="AB67" s="35">
        <f t="shared" si="89"/>
        <v>324590</v>
      </c>
      <c r="AC67" s="35">
        <v>364210</v>
      </c>
      <c r="AD67" s="35">
        <v>343715</v>
      </c>
      <c r="AE67" s="35">
        <v>370597</v>
      </c>
      <c r="AF67" s="35">
        <v>338942</v>
      </c>
      <c r="AG67" s="35">
        <v>363230</v>
      </c>
      <c r="AH67" s="35">
        <v>329600</v>
      </c>
      <c r="AI67" s="42">
        <v>350189</v>
      </c>
      <c r="AJ67" s="42">
        <v>319764</v>
      </c>
      <c r="AK67" s="35">
        <v>340676</v>
      </c>
      <c r="AL67" s="35">
        <v>309984</v>
      </c>
      <c r="AM67" s="42">
        <v>332497</v>
      </c>
      <c r="AN67" s="42">
        <v>303171</v>
      </c>
      <c r="AO67" s="35">
        <v>343723</v>
      </c>
      <c r="AP67" s="35">
        <v>315709</v>
      </c>
      <c r="AQ67" s="35">
        <v>355089</v>
      </c>
      <c r="AR67" s="36">
        <v>330930</v>
      </c>
      <c r="AS67" s="36">
        <v>374416</v>
      </c>
      <c r="AT67" s="42">
        <v>346234</v>
      </c>
      <c r="AU67" s="42">
        <v>385169</v>
      </c>
      <c r="AV67" s="91">
        <v>353311</v>
      </c>
      <c r="AW67" s="92">
        <v>405766</v>
      </c>
      <c r="AX67" s="91">
        <v>375098</v>
      </c>
      <c r="AY67" s="92">
        <v>423637</v>
      </c>
      <c r="AZ67" s="42">
        <v>395551</v>
      </c>
      <c r="BA67" s="92">
        <v>453852</v>
      </c>
      <c r="BB67" s="42">
        <v>420747</v>
      </c>
      <c r="BC67" s="92">
        <v>475134.05</v>
      </c>
      <c r="BD67" s="42">
        <v>441460.43</v>
      </c>
      <c r="BE67" s="92">
        <v>493177.07</v>
      </c>
      <c r="BF67" s="91">
        <v>453962.2</v>
      </c>
      <c r="BG67" s="84">
        <v>497571.34</v>
      </c>
      <c r="BH67" s="83">
        <v>459287.6</v>
      </c>
      <c r="BI67" s="84">
        <v>497268.02</v>
      </c>
      <c r="BJ67" s="218">
        <v>445779.424</v>
      </c>
      <c r="BK67" s="206">
        <v>483383.66</v>
      </c>
      <c r="BL67" s="159"/>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row>
    <row r="68" spans="1:328" s="32" customFormat="1" ht="5.25" customHeight="1">
      <c r="A68" s="34"/>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6"/>
      <c r="AJ68" s="36"/>
      <c r="AK68" s="35"/>
      <c r="AL68" s="35"/>
      <c r="AM68" s="36"/>
      <c r="AN68" s="36"/>
      <c r="AO68" s="35"/>
      <c r="AP68" s="35"/>
      <c r="AQ68" s="35"/>
      <c r="AR68" s="36"/>
      <c r="AS68" s="36"/>
      <c r="AT68" s="36"/>
      <c r="AU68" s="36"/>
      <c r="AV68" s="36"/>
      <c r="AW68" s="36"/>
      <c r="AX68" s="36"/>
      <c r="AY68" s="36"/>
      <c r="AZ68" s="36"/>
      <c r="BA68" s="36"/>
      <c r="BB68" s="36"/>
      <c r="BC68" s="36"/>
      <c r="BD68" s="36"/>
      <c r="BE68" s="36"/>
      <c r="BF68" s="36"/>
      <c r="BG68" s="36"/>
      <c r="BH68" s="36"/>
      <c r="BI68" s="36"/>
      <c r="BJ68" s="218"/>
      <c r="BK68" s="205"/>
      <c r="BL68" s="159"/>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row>
    <row r="69" spans="1:328" s="32" customFormat="1" ht="5.25" customHeight="1">
      <c r="A69" s="34"/>
      <c r="B69" s="34"/>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6"/>
      <c r="AJ69" s="36"/>
      <c r="AK69" s="35"/>
      <c r="AL69" s="35"/>
      <c r="AM69" s="36"/>
      <c r="AN69" s="36"/>
      <c r="AO69" s="35"/>
      <c r="AP69" s="35"/>
      <c r="AQ69" s="35"/>
      <c r="AR69" s="36"/>
      <c r="AS69" s="36"/>
      <c r="AT69" s="36"/>
      <c r="AU69" s="36"/>
      <c r="AV69" s="36"/>
      <c r="AW69" s="36"/>
      <c r="AX69" s="36"/>
      <c r="AY69" s="36"/>
      <c r="AZ69" s="36"/>
      <c r="BA69" s="36"/>
      <c r="BB69" s="36"/>
      <c r="BC69" s="36"/>
      <c r="BD69" s="36"/>
      <c r="BE69" s="36"/>
      <c r="BF69" s="36"/>
      <c r="BG69" s="36"/>
      <c r="BH69" s="36"/>
      <c r="BI69" s="36"/>
      <c r="BJ69" s="218"/>
      <c r="BK69" s="205"/>
      <c r="BL69" s="15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row>
    <row r="70" spans="1:328" s="165" customFormat="1" ht="14.25">
      <c r="A70" s="161" t="s">
        <v>33</v>
      </c>
      <c r="B70" s="162"/>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4"/>
      <c r="AS70" s="164"/>
      <c r="AT70" s="164"/>
      <c r="AU70" s="164"/>
      <c r="AV70" s="163"/>
      <c r="AW70" s="163"/>
      <c r="AX70" s="163"/>
      <c r="AY70" s="163"/>
      <c r="AZ70" s="163"/>
      <c r="BA70" s="163"/>
      <c r="BB70" s="163"/>
      <c r="BC70" s="163"/>
      <c r="BD70" s="163"/>
      <c r="BE70" s="163"/>
      <c r="BF70" s="163"/>
      <c r="BG70" s="163"/>
      <c r="BH70" s="163"/>
      <c r="BI70" s="163"/>
      <c r="BJ70" s="219"/>
      <c r="BK70" s="219"/>
      <c r="BL70" s="163"/>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row>
    <row r="71" spans="1:328" s="166" customFormat="1" ht="9.75" customHeight="1">
      <c r="B71" s="167" t="s">
        <v>35</v>
      </c>
      <c r="C71" s="163"/>
      <c r="D71" s="163"/>
      <c r="E71" s="163"/>
      <c r="F71" s="163"/>
      <c r="G71" s="163"/>
      <c r="H71" s="163"/>
      <c r="I71" s="163"/>
      <c r="J71" s="163"/>
      <c r="K71" s="163"/>
      <c r="L71" s="163"/>
      <c r="AR71" s="168"/>
      <c r="AS71" s="168"/>
      <c r="AT71" s="168"/>
      <c r="AU71" s="168"/>
      <c r="BJ71" s="220"/>
      <c r="BK71" s="220"/>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row>
    <row r="72" spans="1:328" s="166" customFormat="1" ht="9.75" customHeight="1">
      <c r="B72" s="167" t="s">
        <v>41</v>
      </c>
      <c r="C72" s="163"/>
      <c r="D72" s="163"/>
      <c r="E72" s="163"/>
      <c r="F72" s="163"/>
      <c r="G72" s="163"/>
      <c r="H72" s="163"/>
      <c r="I72" s="163"/>
      <c r="J72" s="163"/>
      <c r="K72" s="163"/>
      <c r="L72" s="163"/>
      <c r="AR72" s="168"/>
      <c r="AS72" s="168"/>
      <c r="AT72" s="168"/>
      <c r="AU72" s="168"/>
      <c r="BJ72" s="220"/>
      <c r="BK72" s="220"/>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row>
    <row r="73" spans="1:328" s="166" customFormat="1" ht="9.75" customHeight="1">
      <c r="B73" s="167" t="s">
        <v>32</v>
      </c>
      <c r="C73" s="163"/>
      <c r="D73" s="163"/>
      <c r="E73" s="163"/>
      <c r="F73" s="163"/>
      <c r="G73" s="163"/>
      <c r="H73" s="163"/>
      <c r="I73" s="163"/>
      <c r="J73" s="163"/>
      <c r="K73" s="163"/>
      <c r="L73" s="163"/>
      <c r="AR73" s="168"/>
      <c r="AS73" s="168"/>
      <c r="AT73" s="168"/>
      <c r="AU73" s="168"/>
      <c r="BJ73" s="220"/>
      <c r="BK73" s="220"/>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row>
    <row r="74" spans="1:328" s="166" customFormat="1" ht="15" customHeight="1">
      <c r="A74" s="161" t="s">
        <v>34</v>
      </c>
      <c r="B74" s="167"/>
      <c r="C74" s="163"/>
      <c r="D74" s="163"/>
      <c r="E74" s="163"/>
      <c r="F74" s="163"/>
      <c r="G74" s="163"/>
      <c r="H74" s="163"/>
      <c r="I74" s="163"/>
      <c r="J74" s="163"/>
      <c r="K74" s="163"/>
      <c r="AR74" s="168"/>
      <c r="AS74" s="168"/>
      <c r="AT74" s="168"/>
      <c r="AU74" s="168"/>
      <c r="BJ74" s="220"/>
      <c r="BK74" s="220"/>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row>
    <row r="75" spans="1:328" s="166" customFormat="1" ht="9.75" customHeight="1">
      <c r="B75" s="167" t="s">
        <v>42</v>
      </c>
      <c r="C75" s="163"/>
      <c r="D75" s="163"/>
      <c r="E75" s="163"/>
      <c r="F75" s="163"/>
      <c r="G75" s="163"/>
      <c r="H75" s="163"/>
      <c r="I75" s="163"/>
      <c r="J75" s="163"/>
      <c r="K75" s="163"/>
      <c r="AR75" s="168"/>
      <c r="AS75" s="168"/>
      <c r="AT75" s="168"/>
      <c r="AU75" s="168"/>
      <c r="BJ75" s="220"/>
      <c r="BK75" s="220"/>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row>
    <row r="76" spans="1:328" s="166" customFormat="1" ht="9.75" customHeight="1">
      <c r="B76" s="167" t="s">
        <v>36</v>
      </c>
      <c r="C76" s="163"/>
      <c r="D76" s="163"/>
      <c r="E76" s="163"/>
      <c r="F76" s="163"/>
      <c r="G76" s="163"/>
      <c r="H76" s="163"/>
      <c r="I76" s="163"/>
      <c r="J76" s="163"/>
      <c r="K76" s="163"/>
      <c r="AR76" s="168"/>
      <c r="AS76" s="168"/>
      <c r="AT76" s="168"/>
      <c r="AU76" s="168"/>
      <c r="BJ76" s="220"/>
      <c r="BK76" s="220"/>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row>
    <row r="77" spans="1:328" s="103" customFormat="1" ht="15" customHeight="1">
      <c r="A77" s="99" t="s">
        <v>38</v>
      </c>
      <c r="B77" s="100"/>
      <c r="C77" s="100"/>
      <c r="D77" s="101"/>
      <c r="E77" s="101"/>
      <c r="F77" s="102"/>
      <c r="G77" s="102"/>
      <c r="H77" s="102"/>
      <c r="I77" s="102"/>
      <c r="J77" s="102"/>
      <c r="K77" s="102"/>
      <c r="L77" s="102"/>
      <c r="M77" s="102"/>
      <c r="N77" s="102"/>
      <c r="O77" s="102"/>
      <c r="P77" s="102"/>
      <c r="Q77" s="102"/>
      <c r="R77" s="102"/>
      <c r="S77" s="102"/>
      <c r="T77" s="102"/>
      <c r="U77" s="102"/>
      <c r="V77" s="102"/>
      <c r="W77" s="102"/>
      <c r="X77" s="102"/>
      <c r="Y77" s="102"/>
      <c r="Z77" s="102"/>
      <c r="AA77" s="102"/>
      <c r="AR77" s="126"/>
      <c r="AS77" s="126"/>
      <c r="AT77" s="126"/>
      <c r="AU77" s="126"/>
      <c r="BJ77" s="221"/>
      <c r="BK77" s="221"/>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row>
    <row r="78" spans="1:328" s="169" customFormat="1" ht="15" customHeight="1">
      <c r="B78" s="170" t="s">
        <v>37</v>
      </c>
      <c r="C78" s="171"/>
      <c r="D78" s="171"/>
      <c r="E78" s="171"/>
      <c r="F78" s="171"/>
      <c r="G78" s="171"/>
      <c r="H78" s="171"/>
      <c r="I78" s="171"/>
      <c r="J78" s="171"/>
      <c r="K78" s="171"/>
      <c r="AR78" s="172"/>
      <c r="AS78" s="172"/>
      <c r="AT78" s="172"/>
      <c r="AU78" s="172"/>
      <c r="BJ78" s="222"/>
      <c r="BK78" s="222"/>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row>
    <row r="79" spans="1:328" s="173" customFormat="1" ht="37.5" customHeight="1">
      <c r="A79" s="226" t="s">
        <v>43</v>
      </c>
      <c r="B79" s="226"/>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6"/>
      <c r="BE79" s="226"/>
      <c r="BF79" s="226"/>
      <c r="BG79" s="226"/>
      <c r="BH79" s="226"/>
      <c r="BI79" s="226"/>
      <c r="BJ79" s="226"/>
      <c r="BK79" s="226"/>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row>
    <row r="80" spans="1:328" s="173" customFormat="1" ht="6" customHeight="1">
      <c r="BJ80" s="223"/>
      <c r="BK80" s="223"/>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row>
    <row r="81" spans="1:328" s="9" customFormat="1" ht="15" customHeight="1">
      <c r="A81" s="174" t="s">
        <v>16</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44"/>
      <c r="BC81" s="44"/>
      <c r="BD81" s="44"/>
      <c r="BE81" s="44"/>
      <c r="BF81" s="44"/>
      <c r="BJ81" s="176"/>
      <c r="BK81" s="176"/>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row>
    <row r="82" spans="1:328" s="9" customFormat="1" ht="15" customHeight="1">
      <c r="A82" s="174" t="s">
        <v>44</v>
      </c>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44"/>
      <c r="BC82" s="44"/>
      <c r="BD82" s="44"/>
      <c r="BE82" s="44"/>
      <c r="BF82" s="44"/>
      <c r="BJ82" s="176"/>
      <c r="BK82" s="176"/>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row>
    <row r="83" spans="1:328" s="4" customFormat="1" ht="12.75" customHeight="1">
      <c r="A83" s="6"/>
      <c r="B83" s="6"/>
      <c r="AR83" s="9"/>
      <c r="AS83" s="9"/>
      <c r="AT83" s="9"/>
      <c r="AU83" s="9"/>
      <c r="AY83" s="46"/>
      <c r="AZ83" s="46"/>
      <c r="BA83" s="46"/>
      <c r="BB83" s="46"/>
      <c r="BC83" s="46"/>
      <c r="BD83" s="46"/>
      <c r="BE83" s="46"/>
      <c r="BF83" s="46"/>
      <c r="BJ83" s="224"/>
      <c r="BK83" s="224"/>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row>
    <row r="84" spans="1:328" s="4" customFormat="1" ht="12.75" customHeight="1">
      <c r="A84" s="6"/>
      <c r="B84" s="6"/>
      <c r="AR84" s="9"/>
      <c r="AS84" s="9"/>
      <c r="AT84" s="9"/>
      <c r="AU84" s="9"/>
      <c r="AY84" s="46"/>
      <c r="AZ84" s="46"/>
      <c r="BA84" s="46"/>
      <c r="BB84" s="46"/>
      <c r="BC84" s="46"/>
      <c r="BD84" s="46"/>
      <c r="BE84" s="46"/>
      <c r="BF84" s="46"/>
      <c r="BJ84" s="224"/>
      <c r="BK84" s="22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row>
    <row r="85" spans="1:328" s="4" customFormat="1" ht="12.75" customHeight="1">
      <c r="A85" s="6"/>
      <c r="B85" s="6"/>
      <c r="AR85" s="9"/>
      <c r="AS85" s="9"/>
      <c r="AT85" s="9"/>
      <c r="AU85" s="9"/>
      <c r="AY85" s="46"/>
      <c r="AZ85" s="46"/>
      <c r="BA85" s="46"/>
      <c r="BB85" s="46"/>
      <c r="BC85" s="46"/>
      <c r="BD85" s="46"/>
      <c r="BE85" s="46"/>
      <c r="BF85" s="46"/>
      <c r="BJ85" s="224"/>
      <c r="BK85" s="224"/>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row>
    <row r="86" spans="1:328" s="4" customFormat="1" ht="12.75" customHeight="1">
      <c r="A86" s="6"/>
      <c r="B86" s="6"/>
      <c r="AR86" s="9"/>
      <c r="AS86" s="9"/>
      <c r="AT86" s="9"/>
      <c r="AU86" s="9"/>
      <c r="AY86" s="46"/>
      <c r="AZ86" s="46"/>
      <c r="BA86" s="46"/>
      <c r="BB86" s="46"/>
      <c r="BC86" s="46"/>
      <c r="BD86" s="46"/>
      <c r="BE86" s="46"/>
      <c r="BF86" s="46"/>
      <c r="BJ86" s="224"/>
      <c r="BK86" s="224"/>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row>
    <row r="87" spans="1:328" s="4" customFormat="1" ht="12.75" customHeight="1">
      <c r="A87" s="6"/>
      <c r="B87" s="6"/>
      <c r="AR87" s="9"/>
      <c r="AS87" s="9"/>
      <c r="AT87" s="9"/>
      <c r="AU87" s="9"/>
      <c r="AY87" s="46"/>
      <c r="AZ87" s="46"/>
      <c r="BA87" s="46"/>
      <c r="BB87" s="46"/>
      <c r="BC87" s="46"/>
      <c r="BD87" s="46"/>
      <c r="BE87" s="46"/>
      <c r="BF87" s="46"/>
      <c r="BJ87" s="224"/>
      <c r="BK87" s="224"/>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row>
    <row r="88" spans="1:328" s="4" customFormat="1" ht="12.75" customHeight="1">
      <c r="A88" s="6"/>
      <c r="B88" s="6"/>
      <c r="AR88" s="9"/>
      <c r="AS88" s="9"/>
      <c r="AT88" s="9"/>
      <c r="AU88" s="9"/>
      <c r="AY88" s="46"/>
      <c r="AZ88" s="46"/>
      <c r="BA88" s="46"/>
      <c r="BB88" s="46"/>
      <c r="BC88" s="46"/>
      <c r="BD88" s="46"/>
      <c r="BE88" s="46"/>
      <c r="BF88" s="46"/>
      <c r="BJ88" s="224"/>
      <c r="BK88" s="224"/>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row>
    <row r="89" spans="1:328" s="4" customFormat="1" ht="12.75" customHeight="1">
      <c r="A89" s="6"/>
      <c r="B89" s="6"/>
      <c r="AR89" s="9"/>
      <c r="AS89" s="9"/>
      <c r="AT89" s="9"/>
      <c r="AU89" s="9"/>
      <c r="AY89" s="46"/>
      <c r="AZ89" s="46"/>
      <c r="BA89" s="46"/>
      <c r="BB89" s="46"/>
      <c r="BC89" s="46"/>
      <c r="BD89" s="46"/>
      <c r="BE89" s="46"/>
      <c r="BF89" s="46"/>
      <c r="BJ89" s="224"/>
      <c r="BK89" s="224"/>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row>
    <row r="90" spans="1:328" s="4" customFormat="1" ht="12.75" customHeight="1">
      <c r="A90" s="6"/>
      <c r="B90" s="6"/>
      <c r="AR90" s="9"/>
      <c r="AS90" s="9"/>
      <c r="AT90" s="9"/>
      <c r="AU90" s="9"/>
      <c r="AY90" s="46"/>
      <c r="AZ90" s="46"/>
      <c r="BA90" s="46"/>
      <c r="BB90" s="46"/>
      <c r="BC90" s="46"/>
      <c r="BD90" s="46"/>
      <c r="BE90" s="46"/>
      <c r="BF90" s="46"/>
      <c r="BJ90" s="224"/>
      <c r="BK90" s="224"/>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row>
    <row r="91" spans="1:328" s="4" customFormat="1" ht="12.75" customHeight="1">
      <c r="A91" s="6"/>
      <c r="B91" s="6"/>
      <c r="AR91" s="9"/>
      <c r="AS91" s="9"/>
      <c r="AT91" s="9"/>
      <c r="AU91" s="9"/>
      <c r="AY91" s="46"/>
      <c r="AZ91" s="46"/>
      <c r="BA91" s="46"/>
      <c r="BB91" s="46"/>
      <c r="BC91" s="46"/>
      <c r="BD91" s="46"/>
      <c r="BE91" s="46"/>
      <c r="BF91" s="46"/>
      <c r="BJ91" s="224"/>
      <c r="BK91" s="224"/>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row>
    <row r="92" spans="1:328" s="4" customFormat="1" ht="12.75" customHeight="1">
      <c r="A92" s="6"/>
      <c r="B92" s="6"/>
      <c r="AR92" s="9"/>
      <c r="AS92" s="9"/>
      <c r="AT92" s="9"/>
      <c r="AU92" s="9"/>
      <c r="AY92" s="46"/>
      <c r="AZ92" s="46"/>
      <c r="BA92" s="46"/>
      <c r="BB92" s="46"/>
      <c r="BC92" s="46"/>
      <c r="BD92" s="46"/>
      <c r="BE92" s="46"/>
      <c r="BF92" s="46"/>
      <c r="BJ92" s="224"/>
      <c r="BK92" s="224"/>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row>
    <row r="93" spans="1:328" s="4" customFormat="1" ht="12.75" customHeight="1">
      <c r="A93" s="6"/>
      <c r="B93" s="6"/>
      <c r="AR93" s="9"/>
      <c r="AS93" s="9"/>
      <c r="AT93" s="9"/>
      <c r="AU93" s="9"/>
      <c r="AY93" s="46"/>
      <c r="AZ93" s="46"/>
      <c r="BA93" s="46"/>
      <c r="BB93" s="46"/>
      <c r="BC93" s="46"/>
      <c r="BD93" s="46"/>
      <c r="BE93" s="46"/>
      <c r="BF93" s="46"/>
      <c r="BJ93" s="224"/>
      <c r="BK93" s="224"/>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row>
    <row r="94" spans="1:328" s="4" customFormat="1" ht="12.75" customHeight="1">
      <c r="A94" s="6"/>
      <c r="B94" s="6"/>
      <c r="AR94" s="9"/>
      <c r="AS94" s="9"/>
      <c r="AT94" s="9"/>
      <c r="AU94" s="9"/>
      <c r="AY94" s="46"/>
      <c r="AZ94" s="46"/>
      <c r="BA94" s="46"/>
      <c r="BB94" s="46"/>
      <c r="BC94" s="46"/>
      <c r="BD94" s="46"/>
      <c r="BE94" s="46"/>
      <c r="BF94" s="46"/>
      <c r="BJ94" s="224"/>
      <c r="BK94" s="22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row>
    <row r="95" spans="1:328" s="4" customFormat="1" ht="12.75" customHeight="1">
      <c r="A95" s="6"/>
      <c r="B95" s="6"/>
      <c r="AR95" s="9"/>
      <c r="AS95" s="9"/>
      <c r="AT95" s="9"/>
      <c r="AU95" s="9"/>
      <c r="AY95" s="46"/>
      <c r="AZ95" s="46"/>
      <c r="BA95" s="46"/>
      <c r="BB95" s="46"/>
      <c r="BC95" s="46"/>
      <c r="BD95" s="46"/>
      <c r="BE95" s="46"/>
      <c r="BF95" s="46"/>
      <c r="BJ95" s="224"/>
      <c r="BK95" s="224"/>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row>
    <row r="96" spans="1:328" s="4" customFormat="1" ht="12.75" customHeight="1">
      <c r="A96" s="6"/>
      <c r="B96" s="6"/>
      <c r="AR96" s="9"/>
      <c r="AS96" s="9"/>
      <c r="AT96" s="9"/>
      <c r="AU96" s="9"/>
      <c r="AY96" s="46"/>
      <c r="AZ96" s="46"/>
      <c r="BA96" s="46"/>
      <c r="BB96" s="46"/>
      <c r="BC96" s="46"/>
      <c r="BD96" s="46"/>
      <c r="BE96" s="46"/>
      <c r="BF96" s="46"/>
      <c r="BJ96" s="224"/>
      <c r="BK96" s="224"/>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row>
    <row r="97" spans="1:328" s="4" customFormat="1" ht="12.75" customHeight="1">
      <c r="A97" s="6"/>
      <c r="B97" s="6"/>
      <c r="AR97" s="9"/>
      <c r="AS97" s="9"/>
      <c r="AT97" s="9"/>
      <c r="AU97" s="9"/>
      <c r="AY97" s="46"/>
      <c r="AZ97" s="46"/>
      <c r="BA97" s="46"/>
      <c r="BB97" s="46"/>
      <c r="BC97" s="46"/>
      <c r="BD97" s="46"/>
      <c r="BE97" s="46"/>
      <c r="BF97" s="46"/>
      <c r="BJ97" s="224"/>
      <c r="BK97" s="224"/>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row>
    <row r="98" spans="1:328" s="4" customFormat="1" ht="12.75" customHeight="1">
      <c r="A98" s="6"/>
      <c r="B98" s="6"/>
      <c r="AR98" s="9"/>
      <c r="AS98" s="9"/>
      <c r="AT98" s="9"/>
      <c r="AU98" s="9"/>
      <c r="AY98" s="46"/>
      <c r="AZ98" s="46"/>
      <c r="BA98" s="46"/>
      <c r="BB98" s="46"/>
      <c r="BC98" s="46"/>
      <c r="BD98" s="46"/>
      <c r="BE98" s="46"/>
      <c r="BF98" s="46"/>
      <c r="BJ98" s="224"/>
      <c r="BK98" s="224"/>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row>
    <row r="99" spans="1:328" s="4" customFormat="1" ht="12.75" customHeight="1">
      <c r="A99" s="6"/>
      <c r="B99" s="6"/>
      <c r="AR99" s="9"/>
      <c r="AS99" s="9"/>
      <c r="AT99" s="9"/>
      <c r="AU99" s="9"/>
      <c r="AY99" s="46"/>
      <c r="AZ99" s="46"/>
      <c r="BA99" s="46"/>
      <c r="BB99" s="46"/>
      <c r="BC99" s="46"/>
      <c r="BD99" s="46"/>
      <c r="BE99" s="46"/>
      <c r="BF99" s="46"/>
      <c r="BJ99" s="224"/>
      <c r="BK99" s="224"/>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row>
    <row r="100" spans="1:328" s="4" customFormat="1" ht="12.75" customHeight="1">
      <c r="A100" s="6"/>
      <c r="B100" s="6"/>
      <c r="AR100" s="9"/>
      <c r="AS100" s="9"/>
      <c r="AT100" s="9"/>
      <c r="AU100" s="9"/>
      <c r="AY100" s="46"/>
      <c r="AZ100" s="46"/>
      <c r="BA100" s="46"/>
      <c r="BB100" s="46"/>
      <c r="BC100" s="46"/>
      <c r="BD100" s="46"/>
      <c r="BE100" s="46"/>
      <c r="BF100" s="46"/>
      <c r="BJ100" s="224"/>
      <c r="BK100" s="224"/>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row>
    <row r="101" spans="1:328" s="4" customFormat="1" ht="12.75" customHeight="1">
      <c r="A101" s="6"/>
      <c r="B101" s="6"/>
      <c r="AR101" s="9"/>
      <c r="AS101" s="9"/>
      <c r="AT101" s="9"/>
      <c r="AU101" s="9"/>
      <c r="AY101" s="46"/>
      <c r="AZ101" s="46"/>
      <c r="BA101" s="46"/>
      <c r="BB101" s="46"/>
      <c r="BC101" s="46"/>
      <c r="BD101" s="46"/>
      <c r="BE101" s="46"/>
      <c r="BF101" s="46"/>
      <c r="BJ101" s="224"/>
      <c r="BK101" s="224"/>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row>
    <row r="102" spans="1:328" s="4" customFormat="1" ht="12.75" customHeight="1">
      <c r="A102" s="6"/>
      <c r="B102" s="6"/>
      <c r="AR102" s="9"/>
      <c r="AS102" s="9"/>
      <c r="AT102" s="9"/>
      <c r="AU102" s="9"/>
      <c r="AY102" s="46"/>
      <c r="AZ102" s="46"/>
      <c r="BA102" s="46"/>
      <c r="BB102" s="46"/>
      <c r="BC102" s="46"/>
      <c r="BD102" s="46"/>
      <c r="BE102" s="46"/>
      <c r="BF102" s="46"/>
      <c r="BJ102" s="224"/>
      <c r="BK102" s="224"/>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row>
    <row r="103" spans="1:328" s="4" customFormat="1" ht="12.75" customHeight="1">
      <c r="A103" s="6"/>
      <c r="B103" s="6"/>
      <c r="AR103" s="9"/>
      <c r="AS103" s="9"/>
      <c r="AT103" s="9"/>
      <c r="AU103" s="9"/>
      <c r="AY103" s="46"/>
      <c r="AZ103" s="46"/>
      <c r="BA103" s="46"/>
      <c r="BB103" s="46"/>
      <c r="BC103" s="46"/>
      <c r="BD103" s="46"/>
      <c r="BE103" s="46"/>
      <c r="BF103" s="46"/>
      <c r="BJ103" s="224"/>
      <c r="BK103" s="224"/>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row>
    <row r="104" spans="1:328" s="4" customFormat="1" ht="12.75" customHeight="1">
      <c r="A104" s="6"/>
      <c r="B104" s="6"/>
      <c r="AR104" s="9"/>
      <c r="AS104" s="9"/>
      <c r="AT104" s="9"/>
      <c r="AU104" s="9"/>
      <c r="AY104" s="46"/>
      <c r="AZ104" s="46"/>
      <c r="BA104" s="46"/>
      <c r="BB104" s="46"/>
      <c r="BC104" s="46"/>
      <c r="BD104" s="46"/>
      <c r="BE104" s="46"/>
      <c r="BF104" s="46"/>
      <c r="BJ104" s="224"/>
      <c r="BK104" s="22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row>
    <row r="105" spans="1:328" s="4" customFormat="1" ht="12.75" customHeight="1">
      <c r="A105" s="6"/>
      <c r="B105" s="6"/>
      <c r="AR105" s="9"/>
      <c r="AS105" s="9"/>
      <c r="AT105" s="9"/>
      <c r="AU105" s="9"/>
      <c r="AY105" s="46"/>
      <c r="AZ105" s="46"/>
      <c r="BA105" s="46"/>
      <c r="BB105" s="46"/>
      <c r="BC105" s="46"/>
      <c r="BD105" s="46"/>
      <c r="BE105" s="46"/>
      <c r="BF105" s="46"/>
      <c r="BJ105" s="224"/>
      <c r="BK105" s="224"/>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row>
    <row r="106" spans="1:328" s="4" customFormat="1" ht="12.75" customHeight="1">
      <c r="A106" s="6"/>
      <c r="B106" s="6"/>
      <c r="AR106" s="9"/>
      <c r="AS106" s="9"/>
      <c r="AT106" s="9"/>
      <c r="AU106" s="9"/>
      <c r="AY106" s="46"/>
      <c r="AZ106" s="46"/>
      <c r="BA106" s="46"/>
      <c r="BB106" s="46"/>
      <c r="BC106" s="46"/>
      <c r="BD106" s="46"/>
      <c r="BE106" s="46"/>
      <c r="BF106" s="46"/>
      <c r="BJ106" s="224"/>
      <c r="BK106" s="224"/>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row>
    <row r="107" spans="1:328" s="4" customFormat="1" ht="12.75" customHeight="1">
      <c r="A107" s="6"/>
      <c r="B107" s="6"/>
      <c r="AR107" s="9"/>
      <c r="AS107" s="9"/>
      <c r="AT107" s="9"/>
      <c r="AU107" s="9"/>
      <c r="AY107" s="46"/>
      <c r="AZ107" s="46"/>
      <c r="BA107" s="46"/>
      <c r="BB107" s="46"/>
      <c r="BC107" s="46"/>
      <c r="BD107" s="46"/>
      <c r="BE107" s="46"/>
      <c r="BF107" s="46"/>
      <c r="BJ107" s="224"/>
      <c r="BK107" s="224"/>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row>
    <row r="108" spans="1:328" s="4" customFormat="1" ht="12.75" customHeight="1">
      <c r="A108" s="6"/>
      <c r="B108" s="6"/>
      <c r="AR108" s="9"/>
      <c r="AS108" s="9"/>
      <c r="AT108" s="9"/>
      <c r="AU108" s="9"/>
      <c r="AY108" s="46"/>
      <c r="AZ108" s="46"/>
      <c r="BA108" s="46"/>
      <c r="BB108" s="46"/>
      <c r="BC108" s="46"/>
      <c r="BD108" s="46"/>
      <c r="BE108" s="46"/>
      <c r="BF108" s="46"/>
      <c r="BJ108" s="224"/>
      <c r="BK108" s="224"/>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row>
    <row r="109" spans="1:328" s="4" customFormat="1" ht="12.75" customHeight="1">
      <c r="A109" s="6"/>
      <c r="B109" s="6"/>
      <c r="AR109" s="9"/>
      <c r="AS109" s="9"/>
      <c r="AT109" s="9"/>
      <c r="AU109" s="9"/>
      <c r="AY109" s="46"/>
      <c r="AZ109" s="46"/>
      <c r="BA109" s="46"/>
      <c r="BB109" s="46"/>
      <c r="BC109" s="46"/>
      <c r="BD109" s="46"/>
      <c r="BE109" s="46"/>
      <c r="BF109" s="46"/>
      <c r="BJ109" s="224"/>
      <c r="BK109" s="224"/>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row>
    <row r="110" spans="1:328" s="4" customFormat="1" ht="12.75" customHeight="1">
      <c r="A110" s="6"/>
      <c r="B110" s="6"/>
      <c r="AR110" s="9"/>
      <c r="AS110" s="9"/>
      <c r="AT110" s="9"/>
      <c r="AU110" s="9"/>
      <c r="AY110" s="46"/>
      <c r="AZ110" s="46"/>
      <c r="BA110" s="46"/>
      <c r="BB110" s="46"/>
      <c r="BC110" s="46"/>
      <c r="BD110" s="46"/>
      <c r="BE110" s="46"/>
      <c r="BF110" s="46"/>
      <c r="BJ110" s="224"/>
      <c r="BK110" s="224"/>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row>
    <row r="111" spans="1:328" s="4" customFormat="1" ht="12.75" customHeight="1">
      <c r="A111" s="6"/>
      <c r="B111" s="6"/>
      <c r="AR111" s="9"/>
      <c r="AS111" s="9"/>
      <c r="AT111" s="9"/>
      <c r="AU111" s="9"/>
      <c r="AY111" s="46"/>
      <c r="AZ111" s="46"/>
      <c r="BA111" s="46"/>
      <c r="BB111" s="46"/>
      <c r="BC111" s="46"/>
      <c r="BD111" s="46"/>
      <c r="BE111" s="46"/>
      <c r="BF111" s="46"/>
      <c r="BJ111" s="224"/>
      <c r="BK111" s="224"/>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row>
    <row r="112" spans="1:328" s="4" customFormat="1" ht="12.75" customHeight="1">
      <c r="A112" s="6"/>
      <c r="B112" s="6"/>
      <c r="AR112" s="9"/>
      <c r="AS112" s="9"/>
      <c r="AT112" s="9"/>
      <c r="AU112" s="9"/>
      <c r="AY112" s="46"/>
      <c r="AZ112" s="46"/>
      <c r="BA112" s="46"/>
      <c r="BB112" s="46"/>
      <c r="BC112" s="46"/>
      <c r="BD112" s="46"/>
      <c r="BE112" s="46"/>
      <c r="BF112" s="46"/>
      <c r="BJ112" s="224"/>
      <c r="BK112" s="224"/>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spans="3:3" ht="12.75" customHeight="1"/>
    <row r="130" spans="3:3" ht="12.75" customHeight="1"/>
    <row r="131" spans="3:3" ht="12.75" customHeight="1">
      <c r="C131" s="3"/>
    </row>
    <row r="132" spans="3:3" ht="12.75" customHeight="1"/>
    <row r="133" spans="3:3" ht="12.75" customHeight="1"/>
    <row r="134" spans="3:3" ht="12.75" customHeight="1"/>
    <row r="135" spans="3:3" ht="12.75" customHeight="1"/>
    <row r="136" spans="3:3" ht="12.75" customHeight="1"/>
    <row r="137" spans="3:3" ht="12.75" customHeight="1"/>
    <row r="138" spans="3:3" ht="12.75" customHeight="1"/>
    <row r="139" spans="3:3" ht="12.75" customHeight="1"/>
    <row r="140" spans="3:3" ht="12.75" customHeight="1"/>
    <row r="141" spans="3:3" ht="12.75" customHeight="1"/>
    <row r="142" spans="3:3" ht="12.75" customHeight="1"/>
    <row r="143" spans="3:3" ht="12.75" customHeight="1"/>
    <row r="144" spans="3:3"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sheetData>
  <mergeCells count="1">
    <mergeCell ref="A79:BK79"/>
  </mergeCells>
  <phoneticPr fontId="0" type="noConversion"/>
  <printOptions horizontalCentered="1" verticalCentered="1"/>
  <pageMargins left="0.45" right="0.45" top="0.3" bottom="0.3" header="0.3" footer="0.3"/>
  <pageSetup scale="94" orientation="portrait" r:id="rId1"/>
  <headerFooter alignWithMargins="0">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 per FTE</vt:lpstr>
      <vt:lpstr>'SCH per FTE'!Print_Area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Dobbe, Nadine K [I RES]</dc:creator>
  <cp:lastModifiedBy>Dobbe, Nadine K [I RES]</cp:lastModifiedBy>
  <cp:lastPrinted>2019-08-02T21:21:25Z</cp:lastPrinted>
  <dcterms:created xsi:type="dcterms:W3CDTF">1999-06-23T13:38:07Z</dcterms:created>
  <dcterms:modified xsi:type="dcterms:W3CDTF">2019-08-02T21:27:45Z</dcterms:modified>
</cp:coreProperties>
</file>