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IR WWW\wwwir\2017-2018 FACT BOOK\2017-2018 EXCEL\POSTED\"/>
    </mc:Choice>
  </mc:AlternateContent>
  <bookViews>
    <workbookView xWindow="-15" yWindow="585" windowWidth="19320" windowHeight="12660"/>
  </bookViews>
  <sheets>
    <sheet name="SCH College Level FY" sheetId="1" r:id="rId1"/>
    <sheet name="wkg for pie" sheetId="2" state="hidden" r:id="rId2"/>
    <sheet name="wkg for UG Line" sheetId="3" state="hidden" r:id="rId3"/>
    <sheet name="wkg for UG Bar" sheetId="5" state="hidden" r:id="rId4"/>
    <sheet name="wkg for grad line" sheetId="4" state="hidden" r:id="rId5"/>
    <sheet name="wkg for Grad bar" sheetId="6" state="hidden" r:id="rId6"/>
  </sheets>
  <definedNames>
    <definedName name="_xlnm.Print_Area" localSheetId="0">'SCH College Level FY'!$A$1:$AT$74</definedName>
    <definedName name="_xlnm.Print_Area" localSheetId="1">'wkg for pie'!$A$1:$L$57</definedName>
    <definedName name="qryFall00_on_over_load">#REF!</definedName>
    <definedName name="qryFall01_Ind_Inst">#REF!</definedName>
    <definedName name="qryFall01_on_over_load">#REF!</definedName>
    <definedName name="qryFall01_Vet_Med_by_level">#REF!</definedName>
    <definedName name="qrySP01_BUS">#REF!</definedName>
    <definedName name="qrySP01_EDUC">#REF!</definedName>
    <definedName name="qrySP01_Ind_Inst">#REF!</definedName>
    <definedName name="qrySP01_Vet_Med_by_level">#REF!</definedName>
    <definedName name="qrySP01Ind_Inst">#REF!</definedName>
    <definedName name="qrySpr00_Ind_Inst">#REF!</definedName>
    <definedName name="qrySum00_Vet_Med_by_level">#REF!</definedName>
  </definedNames>
  <calcPr calcId="162913"/>
</workbook>
</file>

<file path=xl/calcChain.xml><?xml version="1.0" encoding="utf-8"?>
<calcChain xmlns="http://schemas.openxmlformats.org/spreadsheetml/2006/main">
  <c r="C14" i="2" l="1"/>
  <c r="C10" i="2"/>
  <c r="C6" i="2"/>
  <c r="C7" i="2"/>
  <c r="C8" i="2"/>
  <c r="C9" i="2"/>
  <c r="C11" i="2"/>
  <c r="C12" i="2"/>
  <c r="C13" i="2"/>
  <c r="C5" i="2"/>
  <c r="AD322" i="1" l="1"/>
  <c r="M7" i="5" l="1"/>
  <c r="AC64" i="1"/>
  <c r="AC63" i="1"/>
  <c r="AC54" i="1"/>
  <c r="AC50" i="1"/>
  <c r="AC62" i="1"/>
  <c r="AC61" i="1"/>
  <c r="AC16" i="1"/>
  <c r="AC11" i="1"/>
  <c r="AB322" i="1" l="1"/>
  <c r="AB309" i="1"/>
  <c r="AB301" i="1"/>
  <c r="AB298" i="1"/>
  <c r="AB308" i="1" s="1"/>
  <c r="AB57" i="1" s="1"/>
  <c r="AB297" i="1"/>
  <c r="AB296" i="1" s="1"/>
  <c r="AB291" i="1"/>
  <c r="AB287" i="1"/>
  <c r="AB53" i="1" s="1"/>
  <c r="AB286" i="1"/>
  <c r="AB285" i="1"/>
  <c r="AB51" i="1" s="1"/>
  <c r="AB284" i="1"/>
  <c r="AB277" i="1"/>
  <c r="AB271" i="1"/>
  <c r="AB265" i="1"/>
  <c r="AB261" i="1"/>
  <c r="AB260" i="1"/>
  <c r="AB259" i="1"/>
  <c r="AB45" i="1" s="1"/>
  <c r="AB258" i="1"/>
  <c r="AB251" i="1"/>
  <c r="AB245" i="1"/>
  <c r="AB239" i="1"/>
  <c r="AB257" i="1" s="1"/>
  <c r="AB235" i="1"/>
  <c r="AB41" i="1" s="1"/>
  <c r="AB234" i="1"/>
  <c r="AB233" i="1"/>
  <c r="AB39" i="1" s="1"/>
  <c r="AB227" i="1"/>
  <c r="AB222" i="1"/>
  <c r="AB217" i="1"/>
  <c r="AB216" i="1"/>
  <c r="AB213" i="1"/>
  <c r="AB36" i="1" s="1"/>
  <c r="AB212" i="1"/>
  <c r="AB211" i="1"/>
  <c r="AB205" i="1"/>
  <c r="AB200" i="1"/>
  <c r="AB195" i="1"/>
  <c r="AB194" i="1" s="1"/>
  <c r="AB191" i="1"/>
  <c r="AB31" i="1" s="1"/>
  <c r="AB190" i="1"/>
  <c r="AB189" i="1"/>
  <c r="AB188" i="1"/>
  <c r="AB28" i="1" s="1"/>
  <c r="AB181" i="1"/>
  <c r="AB175" i="1"/>
  <c r="AB169" i="1"/>
  <c r="AB168" i="1" s="1"/>
  <c r="AB165" i="1"/>
  <c r="AB25" i="1" s="1"/>
  <c r="AB164" i="1"/>
  <c r="AB163" i="1"/>
  <c r="AB157" i="1"/>
  <c r="AB152" i="1"/>
  <c r="AB147" i="1"/>
  <c r="AB146" i="1" s="1"/>
  <c r="AB143" i="1"/>
  <c r="AB20" i="1" s="1"/>
  <c r="AB142" i="1"/>
  <c r="AB19" i="1" s="1"/>
  <c r="AB141" i="1"/>
  <c r="AB18" i="1" s="1"/>
  <c r="AB135" i="1"/>
  <c r="AB130" i="1"/>
  <c r="AB125" i="1"/>
  <c r="AB140" i="1" s="1"/>
  <c r="AB121" i="1"/>
  <c r="AB120" i="1"/>
  <c r="AB119" i="1"/>
  <c r="AB13" i="1" s="1"/>
  <c r="AB113" i="1"/>
  <c r="AB108" i="1"/>
  <c r="AB103" i="1"/>
  <c r="AB118" i="1" s="1"/>
  <c r="AB16" i="1" s="1"/>
  <c r="AB99" i="1"/>
  <c r="AB10" i="1" s="1"/>
  <c r="AB98" i="1"/>
  <c r="AB9" i="1" s="1"/>
  <c r="AB97" i="1"/>
  <c r="AB96" i="1"/>
  <c r="AB7" i="1" s="1"/>
  <c r="AB89" i="1"/>
  <c r="AB83" i="1"/>
  <c r="AB77" i="1"/>
  <c r="AB58" i="1"/>
  <c r="AB52" i="1"/>
  <c r="AB50" i="1"/>
  <c r="AB47" i="1"/>
  <c r="AB46" i="1"/>
  <c r="AB44" i="1"/>
  <c r="AB40" i="1"/>
  <c r="AB35" i="1"/>
  <c r="AB34" i="1"/>
  <c r="AB30" i="1"/>
  <c r="AB29" i="1"/>
  <c r="AB24" i="1"/>
  <c r="AB23" i="1"/>
  <c r="AB15" i="1"/>
  <c r="AB14" i="1"/>
  <c r="AB42" i="1" l="1"/>
  <c r="AB37" i="1"/>
  <c r="AB238" i="1"/>
  <c r="AB232" i="1"/>
  <c r="AB187" i="1"/>
  <c r="AB210" i="1"/>
  <c r="AB124" i="1"/>
  <c r="AB162" i="1"/>
  <c r="AB314" i="1"/>
  <c r="AB62" i="1" s="1"/>
  <c r="AB21" i="1"/>
  <c r="AB315" i="1"/>
  <c r="AB63" i="1" s="1"/>
  <c r="AB283" i="1"/>
  <c r="AB26" i="1"/>
  <c r="AB8" i="1"/>
  <c r="AB48" i="1"/>
  <c r="AB54" i="1"/>
  <c r="AB32" i="1"/>
  <c r="AB316" i="1"/>
  <c r="AB64" i="1" s="1"/>
  <c r="AB264" i="1"/>
  <c r="AB307" i="1"/>
  <c r="AB313" i="1" s="1"/>
  <c r="AB95" i="1"/>
  <c r="AB11" i="1" s="1"/>
  <c r="C7" i="5"/>
  <c r="D7" i="5"/>
  <c r="E7" i="5"/>
  <c r="F7" i="5"/>
  <c r="G7" i="5"/>
  <c r="H7" i="5"/>
  <c r="I7" i="5"/>
  <c r="J7" i="5"/>
  <c r="K7" i="5"/>
  <c r="L7" i="5"/>
  <c r="AC308" i="1"/>
  <c r="AA322" i="1"/>
  <c r="AA309" i="1"/>
  <c r="AA308" i="1"/>
  <c r="AA57" i="1" s="1"/>
  <c r="AA307" i="1"/>
  <c r="AA301" i="1"/>
  <c r="AA296" i="1"/>
  <c r="AA291" i="1"/>
  <c r="AA287" i="1"/>
  <c r="AA53" i="1" s="1"/>
  <c r="AA286" i="1"/>
  <c r="AA315" i="1" s="1"/>
  <c r="AA63" i="1" s="1"/>
  <c r="AA285" i="1"/>
  <c r="AA51" i="1" s="1"/>
  <c r="AA284" i="1"/>
  <c r="AA50" i="1" s="1"/>
  <c r="AA277" i="1"/>
  <c r="AA271" i="1"/>
  <c r="AA265" i="1"/>
  <c r="AA264" i="1" s="1"/>
  <c r="AA261" i="1"/>
  <c r="AA260" i="1"/>
  <c r="AA46" i="1" s="1"/>
  <c r="AA259" i="1"/>
  <c r="AA258" i="1"/>
  <c r="AA251" i="1"/>
  <c r="AA245" i="1"/>
  <c r="AA239" i="1"/>
  <c r="AA235" i="1"/>
  <c r="AA41" i="1" s="1"/>
  <c r="AA234" i="1"/>
  <c r="AA233" i="1"/>
  <c r="AA227" i="1"/>
  <c r="AA222" i="1"/>
  <c r="AA217" i="1"/>
  <c r="AA213" i="1"/>
  <c r="AA36" i="1" s="1"/>
  <c r="AA212" i="1"/>
  <c r="AA211" i="1"/>
  <c r="AA205" i="1"/>
  <c r="AA200" i="1"/>
  <c r="AA195" i="1"/>
  <c r="AA191" i="1"/>
  <c r="AA31" i="1" s="1"/>
  <c r="AA190" i="1"/>
  <c r="AA30" i="1" s="1"/>
  <c r="AA189" i="1"/>
  <c r="AA188" i="1"/>
  <c r="AA28" i="1" s="1"/>
  <c r="AA181" i="1"/>
  <c r="AA175" i="1"/>
  <c r="AA169" i="1"/>
  <c r="AA165" i="1"/>
  <c r="AA25" i="1" s="1"/>
  <c r="AA164" i="1"/>
  <c r="AA163" i="1"/>
  <c r="AA157" i="1"/>
  <c r="AA152" i="1"/>
  <c r="AA147" i="1"/>
  <c r="AA146" i="1" s="1"/>
  <c r="AA143" i="1"/>
  <c r="AA20" i="1" s="1"/>
  <c r="AA142" i="1"/>
  <c r="AA19" i="1" s="1"/>
  <c r="AA141" i="1"/>
  <c r="AA18" i="1" s="1"/>
  <c r="AA135" i="1"/>
  <c r="AA130" i="1"/>
  <c r="AA125" i="1"/>
  <c r="AA121" i="1"/>
  <c r="AA15" i="1" s="1"/>
  <c r="AA120" i="1"/>
  <c r="AA14" i="1" s="1"/>
  <c r="AA119" i="1"/>
  <c r="AA13" i="1" s="1"/>
  <c r="AA113" i="1"/>
  <c r="AA118" i="1" s="1"/>
  <c r="AA16" i="1" s="1"/>
  <c r="AA108" i="1"/>
  <c r="AA103" i="1"/>
  <c r="AA99" i="1"/>
  <c r="AA10" i="1" s="1"/>
  <c r="AA98" i="1"/>
  <c r="AA9" i="1" s="1"/>
  <c r="AA97" i="1"/>
  <c r="AA8" i="1" s="1"/>
  <c r="AA96" i="1"/>
  <c r="AA89" i="1"/>
  <c r="AA83" i="1"/>
  <c r="AA77" i="1"/>
  <c r="AA56" i="1"/>
  <c r="AA47" i="1"/>
  <c r="AA45" i="1"/>
  <c r="AA48" i="1" s="1"/>
  <c r="AA44" i="1"/>
  <c r="AA40" i="1"/>
  <c r="AA39" i="1"/>
  <c r="AA42" i="1" s="1"/>
  <c r="AA35" i="1"/>
  <c r="AA34" i="1"/>
  <c r="AA29" i="1"/>
  <c r="AA24" i="1"/>
  <c r="AA26" i="1" s="1"/>
  <c r="AA23" i="1"/>
  <c r="AA7" i="1"/>
  <c r="AC260" i="1"/>
  <c r="AC251" i="1"/>
  <c r="AC239" i="1"/>
  <c r="AC245" i="1"/>
  <c r="AC89" i="1"/>
  <c r="AC83" i="1"/>
  <c r="AC191" i="1"/>
  <c r="AC190" i="1"/>
  <c r="AC181" i="1"/>
  <c r="AC169" i="1"/>
  <c r="AC175" i="1"/>
  <c r="AC98" i="1"/>
  <c r="Z322" i="1"/>
  <c r="Z309" i="1"/>
  <c r="Z308" i="1"/>
  <c r="Z307" i="1"/>
  <c r="Z56" i="1" s="1"/>
  <c r="Z301" i="1"/>
  <c r="Z296" i="1"/>
  <c r="Z291" i="1"/>
  <c r="Z287" i="1"/>
  <c r="Z53" i="1" s="1"/>
  <c r="Z286" i="1"/>
  <c r="Z52" i="1" s="1"/>
  <c r="Z54" i="1" s="1"/>
  <c r="Z285" i="1"/>
  <c r="Z284" i="1"/>
  <c r="Z50" i="1" s="1"/>
  <c r="Z277" i="1"/>
  <c r="Z271" i="1"/>
  <c r="Z265" i="1"/>
  <c r="Z283" i="1" s="1"/>
  <c r="Z261" i="1"/>
  <c r="Z47" i="1" s="1"/>
  <c r="Z259" i="1"/>
  <c r="Z258" i="1"/>
  <c r="Z251" i="1"/>
  <c r="Z245" i="1"/>
  <c r="Z257" i="1"/>
  <c r="Z239" i="1"/>
  <c r="Z235" i="1"/>
  <c r="Z41" i="1" s="1"/>
  <c r="Z234" i="1"/>
  <c r="Z40" i="1" s="1"/>
  <c r="Z233" i="1"/>
  <c r="Z227" i="1"/>
  <c r="Z222" i="1"/>
  <c r="Z232" i="1"/>
  <c r="Z217" i="1"/>
  <c r="Z213" i="1"/>
  <c r="Z36" i="1" s="1"/>
  <c r="Z212" i="1"/>
  <c r="Z35" i="1" s="1"/>
  <c r="Z211" i="1"/>
  <c r="Z34" i="1" s="1"/>
  <c r="Z205" i="1"/>
  <c r="Z200" i="1"/>
  <c r="Z195" i="1"/>
  <c r="Z191" i="1"/>
  <c r="Z31" i="1" s="1"/>
  <c r="Z189" i="1"/>
  <c r="Z29" i="1" s="1"/>
  <c r="Z188" i="1"/>
  <c r="Z181" i="1"/>
  <c r="Z175" i="1"/>
  <c r="Z169" i="1"/>
  <c r="Z187" i="1" s="1"/>
  <c r="Z165" i="1"/>
  <c r="Z25" i="1" s="1"/>
  <c r="Z164" i="1"/>
  <c r="Z24" i="1" s="1"/>
  <c r="Z163" i="1"/>
  <c r="Z23" i="1" s="1"/>
  <c r="Z157" i="1"/>
  <c r="Z152" i="1"/>
  <c r="Z162" i="1" s="1"/>
  <c r="Z147" i="1"/>
  <c r="Z143" i="1"/>
  <c r="Z20" i="1"/>
  <c r="Z142" i="1"/>
  <c r="Z19" i="1" s="1"/>
  <c r="Z141" i="1"/>
  <c r="Z18" i="1" s="1"/>
  <c r="Z135" i="1"/>
  <c r="Z130" i="1"/>
  <c r="Z125" i="1"/>
  <c r="Z121" i="1"/>
  <c r="Z15" i="1"/>
  <c r="Z120" i="1"/>
  <c r="Z14" i="1" s="1"/>
  <c r="Z119" i="1"/>
  <c r="Z13" i="1" s="1"/>
  <c r="Z113" i="1"/>
  <c r="Z108" i="1"/>
  <c r="Z103" i="1"/>
  <c r="Z99" i="1"/>
  <c r="Z10" i="1" s="1"/>
  <c r="Z97" i="1"/>
  <c r="Z96" i="1"/>
  <c r="Z89" i="1"/>
  <c r="Z83" i="1"/>
  <c r="Z77" i="1"/>
  <c r="Z58" i="1"/>
  <c r="Z57" i="1"/>
  <c r="Z51" i="1"/>
  <c r="Z45" i="1"/>
  <c r="Z44" i="1"/>
  <c r="Z39" i="1"/>
  <c r="Y322" i="1"/>
  <c r="Y309" i="1"/>
  <c r="Y308" i="1"/>
  <c r="Y57" i="1" s="1"/>
  <c r="Y307" i="1"/>
  <c r="Y301" i="1"/>
  <c r="Y296" i="1"/>
  <c r="Y291" i="1"/>
  <c r="Y287" i="1"/>
  <c r="Y53" i="1" s="1"/>
  <c r="Y286" i="1"/>
  <c r="Y285" i="1"/>
  <c r="Y51" i="1" s="1"/>
  <c r="Y284" i="1"/>
  <c r="Y277" i="1"/>
  <c r="Y271" i="1"/>
  <c r="Y265" i="1"/>
  <c r="Y261" i="1"/>
  <c r="Y47" i="1"/>
  <c r="Y259" i="1"/>
  <c r="Y258" i="1"/>
  <c r="Y251" i="1"/>
  <c r="Y245" i="1"/>
  <c r="Y239" i="1"/>
  <c r="Y235" i="1"/>
  <c r="Y41" i="1" s="1"/>
  <c r="Y234" i="1"/>
  <c r="Y40" i="1" s="1"/>
  <c r="Y42" i="1" s="1"/>
  <c r="Y233" i="1"/>
  <c r="Y227" i="1"/>
  <c r="Y222" i="1"/>
  <c r="Y217" i="1"/>
  <c r="Y213" i="1"/>
  <c r="Y36" i="1" s="1"/>
  <c r="Y212" i="1"/>
  <c r="Y35" i="1" s="1"/>
  <c r="Y211" i="1"/>
  <c r="Y34" i="1"/>
  <c r="Y205" i="1"/>
  <c r="Y200" i="1"/>
  <c r="Y195" i="1"/>
  <c r="Y194" i="1"/>
  <c r="Y191" i="1"/>
  <c r="Y31" i="1"/>
  <c r="Y189" i="1"/>
  <c r="Y29" i="1"/>
  <c r="Y188" i="1"/>
  <c r="Y28" i="1" s="1"/>
  <c r="Y181" i="1"/>
  <c r="Y175" i="1"/>
  <c r="Y169" i="1"/>
  <c r="Y187" i="1" s="1"/>
  <c r="Y165" i="1"/>
  <c r="Y25" i="1"/>
  <c r="Y164" i="1"/>
  <c r="Y24" i="1" s="1"/>
  <c r="Y163" i="1"/>
  <c r="Y23" i="1" s="1"/>
  <c r="Y157" i="1"/>
  <c r="Y152" i="1"/>
  <c r="Y147" i="1"/>
  <c r="Y143" i="1"/>
  <c r="Y20" i="1" s="1"/>
  <c r="Y21" i="1" s="1"/>
  <c r="Y142" i="1"/>
  <c r="Y19" i="1"/>
  <c r="Y141" i="1"/>
  <c r="Y18" i="1" s="1"/>
  <c r="Y135" i="1"/>
  <c r="Y130" i="1"/>
  <c r="Y125" i="1"/>
  <c r="Y121" i="1"/>
  <c r="Y15" i="1" s="1"/>
  <c r="Y120" i="1"/>
  <c r="Y14" i="1" s="1"/>
  <c r="Y119" i="1"/>
  <c r="Y13" i="1" s="1"/>
  <c r="Y113" i="1"/>
  <c r="Y108" i="1"/>
  <c r="Y103" i="1"/>
  <c r="Y118" i="1" s="1"/>
  <c r="Y16" i="1" s="1"/>
  <c r="Y99" i="1"/>
  <c r="Y10" i="1"/>
  <c r="Y97" i="1"/>
  <c r="Y8" i="1" s="1"/>
  <c r="Y96" i="1"/>
  <c r="Y89" i="1"/>
  <c r="Y83" i="1"/>
  <c r="Y77" i="1"/>
  <c r="Y50" i="1"/>
  <c r="Y45" i="1"/>
  <c r="Y44" i="1"/>
  <c r="Y48" i="1" s="1"/>
  <c r="Y39" i="1"/>
  <c r="X322" i="1"/>
  <c r="X309" i="1"/>
  <c r="X58" i="1"/>
  <c r="X308" i="1"/>
  <c r="X57" i="1" s="1"/>
  <c r="X302" i="1"/>
  <c r="X301" i="1" s="1"/>
  <c r="X297" i="1"/>
  <c r="X296" i="1" s="1"/>
  <c r="X292" i="1"/>
  <c r="X291" i="1" s="1"/>
  <c r="X287" i="1"/>
  <c r="X53" i="1" s="1"/>
  <c r="X286" i="1"/>
  <c r="X315" i="1" s="1"/>
  <c r="X63" i="1" s="1"/>
  <c r="X285" i="1"/>
  <c r="X51" i="1"/>
  <c r="X284" i="1"/>
  <c r="X50" i="1" s="1"/>
  <c r="X277" i="1"/>
  <c r="X271" i="1"/>
  <c r="X265" i="1"/>
  <c r="X261" i="1"/>
  <c r="X47" i="1" s="1"/>
  <c r="X48" i="1" s="1"/>
  <c r="X259" i="1"/>
  <c r="X45" i="1" s="1"/>
  <c r="X258" i="1"/>
  <c r="X44" i="1" s="1"/>
  <c r="X251" i="1"/>
  <c r="X245" i="1"/>
  <c r="X239" i="1"/>
  <c r="X235" i="1"/>
  <c r="X41" i="1" s="1"/>
  <c r="X234" i="1"/>
  <c r="X40" i="1" s="1"/>
  <c r="X42" i="1" s="1"/>
  <c r="X233" i="1"/>
  <c r="X39" i="1" s="1"/>
  <c r="X227" i="1"/>
  <c r="X222" i="1"/>
  <c r="X217" i="1"/>
  <c r="X213" i="1"/>
  <c r="X36" i="1"/>
  <c r="X212" i="1"/>
  <c r="X35" i="1" s="1"/>
  <c r="X211" i="1"/>
  <c r="X34" i="1" s="1"/>
  <c r="X205" i="1"/>
  <c r="X200" i="1"/>
  <c r="X195" i="1"/>
  <c r="X191" i="1"/>
  <c r="X31" i="1" s="1"/>
  <c r="X189" i="1"/>
  <c r="X29" i="1" s="1"/>
  <c r="X188" i="1"/>
  <c r="X28" i="1" s="1"/>
  <c r="X32" i="1" s="1"/>
  <c r="X181" i="1"/>
  <c r="X175" i="1"/>
  <c r="X168" i="1" s="1"/>
  <c r="X169" i="1"/>
  <c r="X165" i="1"/>
  <c r="X25" i="1"/>
  <c r="X164" i="1"/>
  <c r="X24" i="1" s="1"/>
  <c r="X163" i="1"/>
  <c r="X23" i="1" s="1"/>
  <c r="X26" i="1" s="1"/>
  <c r="X157" i="1"/>
  <c r="X152" i="1"/>
  <c r="X147" i="1"/>
  <c r="X143" i="1"/>
  <c r="X20" i="1" s="1"/>
  <c r="X142" i="1"/>
  <c r="X19" i="1" s="1"/>
  <c r="X141" i="1"/>
  <c r="X18" i="1" s="1"/>
  <c r="X135" i="1"/>
  <c r="X130" i="1"/>
  <c r="X125" i="1"/>
  <c r="X121" i="1"/>
  <c r="X15" i="1" s="1"/>
  <c r="X120" i="1"/>
  <c r="X14" i="1" s="1"/>
  <c r="X119" i="1"/>
  <c r="X13" i="1" s="1"/>
  <c r="X113" i="1"/>
  <c r="X108" i="1"/>
  <c r="X103" i="1"/>
  <c r="X99" i="1"/>
  <c r="X97" i="1"/>
  <c r="X8" i="1" s="1"/>
  <c r="X96" i="1"/>
  <c r="X95" i="1" s="1"/>
  <c r="X11" i="1" s="1"/>
  <c r="X7" i="1"/>
  <c r="X89" i="1"/>
  <c r="X83" i="1"/>
  <c r="X77" i="1"/>
  <c r="AC77" i="1"/>
  <c r="W322" i="1"/>
  <c r="W309" i="1"/>
  <c r="W58" i="1" s="1"/>
  <c r="W308" i="1"/>
  <c r="W57" i="1" s="1"/>
  <c r="W302" i="1"/>
  <c r="W297" i="1"/>
  <c r="W292" i="1"/>
  <c r="W291" i="1"/>
  <c r="W287" i="1"/>
  <c r="W53" i="1" s="1"/>
  <c r="W286" i="1"/>
  <c r="W285" i="1"/>
  <c r="W51" i="1" s="1"/>
  <c r="W284" i="1"/>
  <c r="W50" i="1" s="1"/>
  <c r="W277" i="1"/>
  <c r="W271" i="1"/>
  <c r="W265" i="1"/>
  <c r="W283" i="1"/>
  <c r="W261" i="1"/>
  <c r="W47" i="1" s="1"/>
  <c r="W259" i="1"/>
  <c r="W45" i="1" s="1"/>
  <c r="W258" i="1"/>
  <c r="W44" i="1"/>
  <c r="W251" i="1"/>
  <c r="W245" i="1"/>
  <c r="W239" i="1"/>
  <c r="W235" i="1"/>
  <c r="W41" i="1" s="1"/>
  <c r="W234" i="1"/>
  <c r="W40" i="1" s="1"/>
  <c r="W233" i="1"/>
  <c r="W39" i="1" s="1"/>
  <c r="W42" i="1" s="1"/>
  <c r="W227" i="1"/>
  <c r="W222" i="1"/>
  <c r="W217" i="1"/>
  <c r="W213" i="1"/>
  <c r="W36" i="1" s="1"/>
  <c r="W212" i="1"/>
  <c r="W35" i="1"/>
  <c r="W211" i="1"/>
  <c r="W34" i="1"/>
  <c r="W37" i="1" s="1"/>
  <c r="W205" i="1"/>
  <c r="W200" i="1"/>
  <c r="W195" i="1"/>
  <c r="W191" i="1"/>
  <c r="W31" i="1" s="1"/>
  <c r="W189" i="1"/>
  <c r="W29" i="1" s="1"/>
  <c r="W188" i="1"/>
  <c r="W28" i="1" s="1"/>
  <c r="W32" i="1" s="1"/>
  <c r="W181" i="1"/>
  <c r="W175" i="1"/>
  <c r="W169" i="1"/>
  <c r="W165" i="1"/>
  <c r="W25" i="1" s="1"/>
  <c r="W164" i="1"/>
  <c r="W24" i="1" s="1"/>
  <c r="W163" i="1"/>
  <c r="W23" i="1" s="1"/>
  <c r="W157" i="1"/>
  <c r="W152" i="1"/>
  <c r="W146" i="1" s="1"/>
  <c r="W147" i="1"/>
  <c r="W143" i="1"/>
  <c r="W20" i="1" s="1"/>
  <c r="W21" i="1" s="1"/>
  <c r="W142" i="1"/>
  <c r="W141" i="1"/>
  <c r="W18" i="1" s="1"/>
  <c r="W135" i="1"/>
  <c r="W130" i="1"/>
  <c r="W125" i="1"/>
  <c r="W121" i="1"/>
  <c r="W15" i="1" s="1"/>
  <c r="W120" i="1"/>
  <c r="W14" i="1" s="1"/>
  <c r="W119" i="1"/>
  <c r="W13" i="1" s="1"/>
  <c r="W113" i="1"/>
  <c r="W108" i="1"/>
  <c r="W103" i="1"/>
  <c r="W99" i="1"/>
  <c r="W10" i="1" s="1"/>
  <c r="W97" i="1"/>
  <c r="W8" i="1"/>
  <c r="W96" i="1"/>
  <c r="W89" i="1"/>
  <c r="W83" i="1"/>
  <c r="W77" i="1"/>
  <c r="AC301" i="1"/>
  <c r="V322" i="1"/>
  <c r="V309" i="1"/>
  <c r="V58" i="1" s="1"/>
  <c r="V308" i="1"/>
  <c r="V302" i="1"/>
  <c r="V301" i="1"/>
  <c r="V297" i="1"/>
  <c r="V307" i="1"/>
  <c r="V296" i="1"/>
  <c r="V292" i="1"/>
  <c r="V291" i="1" s="1"/>
  <c r="V287" i="1"/>
  <c r="V53" i="1" s="1"/>
  <c r="V286" i="1"/>
  <c r="V315" i="1" s="1"/>
  <c r="V63" i="1" s="1"/>
  <c r="V285" i="1"/>
  <c r="V51" i="1" s="1"/>
  <c r="V284" i="1"/>
  <c r="V50" i="1" s="1"/>
  <c r="V277" i="1"/>
  <c r="V271" i="1"/>
  <c r="V265" i="1"/>
  <c r="V264" i="1" s="1"/>
  <c r="V261" i="1"/>
  <c r="V47" i="1" s="1"/>
  <c r="V259" i="1"/>
  <c r="V45" i="1" s="1"/>
  <c r="V48" i="1" s="1"/>
  <c r="V258" i="1"/>
  <c r="V44" i="1"/>
  <c r="V251" i="1"/>
  <c r="V245" i="1"/>
  <c r="V239" i="1"/>
  <c r="V235" i="1"/>
  <c r="V41" i="1" s="1"/>
  <c r="V234" i="1"/>
  <c r="V40" i="1"/>
  <c r="V42" i="1" s="1"/>
  <c r="V233" i="1"/>
  <c r="V39" i="1"/>
  <c r="V227" i="1"/>
  <c r="V222" i="1"/>
  <c r="V217" i="1"/>
  <c r="V213" i="1"/>
  <c r="V36" i="1" s="1"/>
  <c r="V212" i="1"/>
  <c r="V35" i="1" s="1"/>
  <c r="V211" i="1"/>
  <c r="V205" i="1"/>
  <c r="V200" i="1"/>
  <c r="V195" i="1"/>
  <c r="V191" i="1"/>
  <c r="V31" i="1"/>
  <c r="V189" i="1"/>
  <c r="V29" i="1" s="1"/>
  <c r="V188" i="1"/>
  <c r="V28" i="1" s="1"/>
  <c r="V181" i="1"/>
  <c r="V175" i="1"/>
  <c r="V169" i="1"/>
  <c r="V165" i="1"/>
  <c r="V25" i="1" s="1"/>
  <c r="V164" i="1"/>
  <c r="V24" i="1" s="1"/>
  <c r="V163" i="1"/>
  <c r="V23" i="1" s="1"/>
  <c r="V157" i="1"/>
  <c r="V152" i="1"/>
  <c r="V162" i="1" s="1"/>
  <c r="V147" i="1"/>
  <c r="V143" i="1"/>
  <c r="V20" i="1" s="1"/>
  <c r="V21" i="1" s="1"/>
  <c r="V142" i="1"/>
  <c r="V19" i="1"/>
  <c r="V141" i="1"/>
  <c r="V18" i="1" s="1"/>
  <c r="V135" i="1"/>
  <c r="V130" i="1"/>
  <c r="V125" i="1"/>
  <c r="V121" i="1"/>
  <c r="V15" i="1" s="1"/>
  <c r="V120" i="1"/>
  <c r="V14" i="1" s="1"/>
  <c r="V119" i="1"/>
  <c r="V13" i="1"/>
  <c r="V113" i="1"/>
  <c r="V108" i="1"/>
  <c r="V103" i="1"/>
  <c r="V99" i="1"/>
  <c r="V10" i="1" s="1"/>
  <c r="V97" i="1"/>
  <c r="V96" i="1"/>
  <c r="V89" i="1"/>
  <c r="V83" i="1"/>
  <c r="V77" i="1"/>
  <c r="U322" i="1"/>
  <c r="U309" i="1"/>
  <c r="U58" i="1" s="1"/>
  <c r="U308" i="1"/>
  <c r="U57" i="1" s="1"/>
  <c r="U302" i="1"/>
  <c r="U297" i="1"/>
  <c r="U296" i="1" s="1"/>
  <c r="U292" i="1"/>
  <c r="U291" i="1" s="1"/>
  <c r="U287" i="1"/>
  <c r="U53" i="1" s="1"/>
  <c r="U286" i="1"/>
  <c r="U52" i="1" s="1"/>
  <c r="U285" i="1"/>
  <c r="U51" i="1" s="1"/>
  <c r="U284" i="1"/>
  <c r="U50" i="1" s="1"/>
  <c r="U277" i="1"/>
  <c r="U271" i="1"/>
  <c r="U265" i="1"/>
  <c r="U261" i="1"/>
  <c r="U47" i="1" s="1"/>
  <c r="U259" i="1"/>
  <c r="U258" i="1"/>
  <c r="U44" i="1" s="1"/>
  <c r="U251" i="1"/>
  <c r="U257" i="1" s="1"/>
  <c r="U245" i="1"/>
  <c r="U239" i="1"/>
  <c r="U235" i="1"/>
  <c r="U41" i="1" s="1"/>
  <c r="U234" i="1"/>
  <c r="U40" i="1" s="1"/>
  <c r="U233" i="1"/>
  <c r="U39" i="1" s="1"/>
  <c r="U227" i="1"/>
  <c r="U222" i="1"/>
  <c r="U217" i="1"/>
  <c r="U213" i="1"/>
  <c r="U36" i="1"/>
  <c r="U212" i="1"/>
  <c r="U35" i="1" s="1"/>
  <c r="U37" i="1" s="1"/>
  <c r="U211" i="1"/>
  <c r="U34" i="1" s="1"/>
  <c r="U205" i="1"/>
  <c r="U200" i="1"/>
  <c r="U210" i="1" s="1"/>
  <c r="U195" i="1"/>
  <c r="U191" i="1"/>
  <c r="U31" i="1" s="1"/>
  <c r="U189" i="1"/>
  <c r="U29" i="1" s="1"/>
  <c r="U188" i="1"/>
  <c r="U28" i="1" s="1"/>
  <c r="U181" i="1"/>
  <c r="U175" i="1"/>
  <c r="U169" i="1"/>
  <c r="U165" i="1"/>
  <c r="U164" i="1"/>
  <c r="U24" i="1" s="1"/>
  <c r="U163" i="1"/>
  <c r="U23" i="1" s="1"/>
  <c r="U157" i="1"/>
  <c r="U152" i="1"/>
  <c r="U147" i="1"/>
  <c r="U143" i="1"/>
  <c r="U20" i="1" s="1"/>
  <c r="U142" i="1"/>
  <c r="U19" i="1" s="1"/>
  <c r="U141" i="1"/>
  <c r="U18" i="1" s="1"/>
  <c r="U135" i="1"/>
  <c r="U130" i="1"/>
  <c r="U125" i="1"/>
  <c r="U140" i="1" s="1"/>
  <c r="U121" i="1"/>
  <c r="U15" i="1" s="1"/>
  <c r="U120" i="1"/>
  <c r="U14" i="1"/>
  <c r="U119" i="1"/>
  <c r="U13" i="1" s="1"/>
  <c r="U113" i="1"/>
  <c r="U108" i="1"/>
  <c r="U103" i="1"/>
  <c r="U99" i="1"/>
  <c r="U10" i="1" s="1"/>
  <c r="U97" i="1"/>
  <c r="U8" i="1" s="1"/>
  <c r="U96" i="1"/>
  <c r="U89" i="1"/>
  <c r="U83" i="1"/>
  <c r="U77" i="1"/>
  <c r="T322" i="1"/>
  <c r="T96" i="1"/>
  <c r="T7" i="1"/>
  <c r="T119" i="1"/>
  <c r="T13" i="1" s="1"/>
  <c r="T141" i="1"/>
  <c r="T18" i="1"/>
  <c r="T163" i="1"/>
  <c r="T23" i="1" s="1"/>
  <c r="T188" i="1"/>
  <c r="T28" i="1"/>
  <c r="T211" i="1"/>
  <c r="T34" i="1" s="1"/>
  <c r="T258" i="1"/>
  <c r="T44" i="1" s="1"/>
  <c r="T284" i="1"/>
  <c r="T50" i="1" s="1"/>
  <c r="T297" i="1"/>
  <c r="T296" i="1"/>
  <c r="T302" i="1"/>
  <c r="T233" i="1"/>
  <c r="T39" i="1"/>
  <c r="T97" i="1"/>
  <c r="T8" i="1"/>
  <c r="T120" i="1"/>
  <c r="T14" i="1" s="1"/>
  <c r="T142" i="1"/>
  <c r="T19" i="1"/>
  <c r="T164" i="1"/>
  <c r="T24" i="1" s="1"/>
  <c r="T189" i="1"/>
  <c r="T29" i="1" s="1"/>
  <c r="T212" i="1"/>
  <c r="T35" i="1" s="1"/>
  <c r="T259" i="1"/>
  <c r="T45" i="1"/>
  <c r="T285" i="1"/>
  <c r="T51" i="1" s="1"/>
  <c r="T308" i="1"/>
  <c r="T57" i="1" s="1"/>
  <c r="T234" i="1"/>
  <c r="T40" i="1" s="1"/>
  <c r="T286" i="1"/>
  <c r="T99" i="1"/>
  <c r="T95" i="1" s="1"/>
  <c r="T11" i="1" s="1"/>
  <c r="T121" i="1"/>
  <c r="T15" i="1" s="1"/>
  <c r="T143" i="1"/>
  <c r="T20" i="1" s="1"/>
  <c r="T165" i="1"/>
  <c r="T25" i="1" s="1"/>
  <c r="T191" i="1"/>
  <c r="T31" i="1" s="1"/>
  <c r="T213" i="1"/>
  <c r="T36" i="1" s="1"/>
  <c r="T261" i="1"/>
  <c r="T47" i="1" s="1"/>
  <c r="T287" i="1"/>
  <c r="T53" i="1" s="1"/>
  <c r="T309" i="1"/>
  <c r="T58" i="1" s="1"/>
  <c r="T235" i="1"/>
  <c r="T41" i="1" s="1"/>
  <c r="T42" i="1" s="1"/>
  <c r="T291" i="1"/>
  <c r="T265" i="1"/>
  <c r="T271" i="1"/>
  <c r="T277" i="1"/>
  <c r="T239" i="1"/>
  <c r="T245" i="1"/>
  <c r="T251" i="1"/>
  <c r="T217" i="1"/>
  <c r="T222" i="1"/>
  <c r="T227" i="1"/>
  <c r="T195" i="1"/>
  <c r="T200" i="1"/>
  <c r="T205" i="1"/>
  <c r="T169" i="1"/>
  <c r="T175" i="1"/>
  <c r="T181" i="1"/>
  <c r="T147" i="1"/>
  <c r="T152" i="1"/>
  <c r="T157" i="1"/>
  <c r="T125" i="1"/>
  <c r="T130" i="1"/>
  <c r="T135" i="1"/>
  <c r="T103" i="1"/>
  <c r="T108" i="1"/>
  <c r="T118" i="1" s="1"/>
  <c r="T16" i="1" s="1"/>
  <c r="T113" i="1"/>
  <c r="T89" i="1"/>
  <c r="T83" i="1"/>
  <c r="T77" i="1"/>
  <c r="AC119" i="1"/>
  <c r="AC188" i="1"/>
  <c r="AC96" i="1"/>
  <c r="AC141" i="1"/>
  <c r="AC163" i="1"/>
  <c r="AC23" i="1" s="1"/>
  <c r="AC211" i="1"/>
  <c r="AC34" i="1"/>
  <c r="AC258" i="1"/>
  <c r="AC284" i="1"/>
  <c r="AC233" i="1"/>
  <c r="AC120" i="1"/>
  <c r="AC97" i="1"/>
  <c r="AC142" i="1"/>
  <c r="AC164" i="1"/>
  <c r="AC24" i="1" s="1"/>
  <c r="AC26" i="1" s="1"/>
  <c r="AC189" i="1"/>
  <c r="AC212" i="1"/>
  <c r="AC35" i="1" s="1"/>
  <c r="AC259" i="1"/>
  <c r="AC285" i="1"/>
  <c r="AC234" i="1"/>
  <c r="AC121" i="1"/>
  <c r="AC99" i="1"/>
  <c r="AC143" i="1"/>
  <c r="AC165" i="1"/>
  <c r="AC25" i="1" s="1"/>
  <c r="AC213" i="1"/>
  <c r="AC36" i="1" s="1"/>
  <c r="AC37" i="1" s="1"/>
  <c r="AC261" i="1"/>
  <c r="AC287" i="1"/>
  <c r="AC309" i="1"/>
  <c r="AC235" i="1"/>
  <c r="AC286" i="1"/>
  <c r="S322" i="1"/>
  <c r="S96" i="1"/>
  <c r="S119" i="1"/>
  <c r="S13" i="1"/>
  <c r="S141" i="1"/>
  <c r="S18" i="1" s="1"/>
  <c r="S21" i="1" s="1"/>
  <c r="S163" i="1"/>
  <c r="S23" i="1" s="1"/>
  <c r="S188" i="1"/>
  <c r="S28" i="1" s="1"/>
  <c r="S211" i="1"/>
  <c r="S34" i="1" s="1"/>
  <c r="S37" i="1" s="1"/>
  <c r="S258" i="1"/>
  <c r="S44" i="1" s="1"/>
  <c r="S284" i="1"/>
  <c r="S50" i="1" s="1"/>
  <c r="S292" i="1"/>
  <c r="S291" i="1"/>
  <c r="S297" i="1"/>
  <c r="S302" i="1"/>
  <c r="S301" i="1"/>
  <c r="S233" i="1"/>
  <c r="S39" i="1"/>
  <c r="S97" i="1"/>
  <c r="S8" i="1" s="1"/>
  <c r="S120" i="1"/>
  <c r="S14" i="1" s="1"/>
  <c r="S142" i="1"/>
  <c r="S19" i="1" s="1"/>
  <c r="S164" i="1"/>
  <c r="S24" i="1" s="1"/>
  <c r="S189" i="1"/>
  <c r="S29" i="1" s="1"/>
  <c r="S32" i="1" s="1"/>
  <c r="S212" i="1"/>
  <c r="S35" i="1" s="1"/>
  <c r="S259" i="1"/>
  <c r="S45" i="1" s="1"/>
  <c r="S285" i="1"/>
  <c r="S51" i="1"/>
  <c r="S308" i="1"/>
  <c r="S57" i="1" s="1"/>
  <c r="S234" i="1"/>
  <c r="S40" i="1" s="1"/>
  <c r="S286" i="1"/>
  <c r="S99" i="1"/>
  <c r="S10" i="1" s="1"/>
  <c r="S121" i="1"/>
  <c r="S15" i="1" s="1"/>
  <c r="S143" i="1"/>
  <c r="S20" i="1"/>
  <c r="S165" i="1"/>
  <c r="S25" i="1" s="1"/>
  <c r="S191" i="1"/>
  <c r="S31" i="1" s="1"/>
  <c r="S213" i="1"/>
  <c r="S36" i="1" s="1"/>
  <c r="S261" i="1"/>
  <c r="S47" i="1" s="1"/>
  <c r="S287" i="1"/>
  <c r="S53" i="1" s="1"/>
  <c r="S309" i="1"/>
  <c r="S58" i="1" s="1"/>
  <c r="S235" i="1"/>
  <c r="S41" i="1" s="1"/>
  <c r="S265" i="1"/>
  <c r="S271" i="1"/>
  <c r="S277" i="1"/>
  <c r="S283" i="1" s="1"/>
  <c r="S239" i="1"/>
  <c r="S245" i="1"/>
  <c r="S238" i="1" s="1"/>
  <c r="S251" i="1"/>
  <c r="S217" i="1"/>
  <c r="S222" i="1"/>
  <c r="S227" i="1"/>
  <c r="S195" i="1"/>
  <c r="S200" i="1"/>
  <c r="S205" i="1"/>
  <c r="S169" i="1"/>
  <c r="S175" i="1"/>
  <c r="S181" i="1"/>
  <c r="S147" i="1"/>
  <c r="S152" i="1"/>
  <c r="S157" i="1"/>
  <c r="S162" i="1" s="1"/>
  <c r="S125" i="1"/>
  <c r="S130" i="1"/>
  <c r="S140" i="1" s="1"/>
  <c r="S135" i="1"/>
  <c r="S103" i="1"/>
  <c r="S118" i="1"/>
  <c r="S16" i="1" s="1"/>
  <c r="S108" i="1"/>
  <c r="S113" i="1"/>
  <c r="S89" i="1"/>
  <c r="S83" i="1"/>
  <c r="S77" i="1"/>
  <c r="AC291" i="1"/>
  <c r="AC265" i="1"/>
  <c r="AC271" i="1"/>
  <c r="AC277" i="1"/>
  <c r="AC217" i="1"/>
  <c r="AC222" i="1"/>
  <c r="AC227" i="1"/>
  <c r="AC195" i="1"/>
  <c r="AC200" i="1"/>
  <c r="AC205" i="1"/>
  <c r="AC147" i="1"/>
  <c r="AC152" i="1"/>
  <c r="AC157" i="1"/>
  <c r="AC125" i="1"/>
  <c r="AC130" i="1"/>
  <c r="AC135" i="1"/>
  <c r="AC103" i="1"/>
  <c r="AC108" i="1"/>
  <c r="AC113" i="1"/>
  <c r="R302" i="1"/>
  <c r="R301" i="1" s="1"/>
  <c r="R297" i="1"/>
  <c r="R296" i="1"/>
  <c r="R258" i="1"/>
  <c r="R44" i="1"/>
  <c r="R48" i="1" s="1"/>
  <c r="R96" i="1"/>
  <c r="R7" i="1" s="1"/>
  <c r="R119" i="1"/>
  <c r="R13" i="1" s="1"/>
  <c r="R141" i="1"/>
  <c r="R18" i="1" s="1"/>
  <c r="R163" i="1"/>
  <c r="R23" i="1" s="1"/>
  <c r="R188" i="1"/>
  <c r="R28" i="1"/>
  <c r="R211" i="1"/>
  <c r="R34" i="1"/>
  <c r="R37" i="1" s="1"/>
  <c r="R284" i="1"/>
  <c r="R50" i="1" s="1"/>
  <c r="R218" i="1"/>
  <c r="R233" i="1" s="1"/>
  <c r="R39" i="1" s="1"/>
  <c r="R97" i="1"/>
  <c r="R8" i="1" s="1"/>
  <c r="R259" i="1"/>
  <c r="R45" i="1" s="1"/>
  <c r="R308" i="1"/>
  <c r="R57" i="1" s="1"/>
  <c r="R120" i="1"/>
  <c r="R14" i="1"/>
  <c r="R142" i="1"/>
  <c r="R19" i="1" s="1"/>
  <c r="R164" i="1"/>
  <c r="R24" i="1" s="1"/>
  <c r="R189" i="1"/>
  <c r="R29" i="1" s="1"/>
  <c r="R212" i="1"/>
  <c r="R35" i="1" s="1"/>
  <c r="R285" i="1"/>
  <c r="R51" i="1"/>
  <c r="R219" i="1"/>
  <c r="R234" i="1"/>
  <c r="R40" i="1" s="1"/>
  <c r="R99" i="1"/>
  <c r="R10" i="1"/>
  <c r="R121" i="1"/>
  <c r="R15" i="1" s="1"/>
  <c r="R143" i="1"/>
  <c r="R165" i="1"/>
  <c r="R25" i="1"/>
  <c r="R26" i="1" s="1"/>
  <c r="R191" i="1"/>
  <c r="R31" i="1" s="1"/>
  <c r="R213" i="1"/>
  <c r="R36" i="1" s="1"/>
  <c r="R261" i="1"/>
  <c r="R47" i="1" s="1"/>
  <c r="R287" i="1"/>
  <c r="R53" i="1"/>
  <c r="R309" i="1"/>
  <c r="R58" i="1"/>
  <c r="R220" i="1"/>
  <c r="R235" i="1" s="1"/>
  <c r="R41" i="1" s="1"/>
  <c r="R286" i="1"/>
  <c r="R315" i="1" s="1"/>
  <c r="R63" i="1"/>
  <c r="R322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R222" i="1"/>
  <c r="R227" i="1"/>
  <c r="Q217" i="1"/>
  <c r="Q222" i="1"/>
  <c r="Q227" i="1"/>
  <c r="P217" i="1"/>
  <c r="P222" i="1"/>
  <c r="P227" i="1"/>
  <c r="O217" i="1"/>
  <c r="O222" i="1"/>
  <c r="O227" i="1"/>
  <c r="N217" i="1"/>
  <c r="N222" i="1"/>
  <c r="N232" i="1" s="1"/>
  <c r="N216" i="1"/>
  <c r="N227" i="1"/>
  <c r="M217" i="1"/>
  <c r="M222" i="1"/>
  <c r="M227" i="1"/>
  <c r="L217" i="1"/>
  <c r="L222" i="1"/>
  <c r="L227" i="1"/>
  <c r="K217" i="1"/>
  <c r="K222" i="1"/>
  <c r="K227" i="1"/>
  <c r="K216" i="1" s="1"/>
  <c r="J217" i="1"/>
  <c r="J222" i="1"/>
  <c r="J227" i="1"/>
  <c r="I217" i="1"/>
  <c r="I222" i="1"/>
  <c r="I227" i="1"/>
  <c r="H217" i="1"/>
  <c r="H222" i="1"/>
  <c r="H227" i="1"/>
  <c r="G217" i="1"/>
  <c r="G222" i="1"/>
  <c r="G232" i="1" s="1"/>
  <c r="G227" i="1"/>
  <c r="F217" i="1"/>
  <c r="F222" i="1"/>
  <c r="F216" i="1" s="1"/>
  <c r="F227" i="1"/>
  <c r="R291" i="1"/>
  <c r="R265" i="1"/>
  <c r="R271" i="1"/>
  <c r="R277" i="1"/>
  <c r="R239" i="1"/>
  <c r="R245" i="1"/>
  <c r="R251" i="1"/>
  <c r="R195" i="1"/>
  <c r="R200" i="1"/>
  <c r="R210" i="1" s="1"/>
  <c r="R205" i="1"/>
  <c r="R169" i="1"/>
  <c r="R168" i="1" s="1"/>
  <c r="R175" i="1"/>
  <c r="R181" i="1"/>
  <c r="R147" i="1"/>
  <c r="R146" i="1" s="1"/>
  <c r="R152" i="1"/>
  <c r="R157" i="1"/>
  <c r="R125" i="1"/>
  <c r="R130" i="1"/>
  <c r="R124" i="1"/>
  <c r="R135" i="1"/>
  <c r="R103" i="1"/>
  <c r="R108" i="1"/>
  <c r="R118" i="1" s="1"/>
  <c r="R16" i="1" s="1"/>
  <c r="R113" i="1"/>
  <c r="R89" i="1"/>
  <c r="R83" i="1"/>
  <c r="R77" i="1"/>
  <c r="R52" i="1"/>
  <c r="Q113" i="1"/>
  <c r="Q297" i="1"/>
  <c r="Q296" i="1" s="1"/>
  <c r="Q307" i="1"/>
  <c r="Q56" i="1" s="1"/>
  <c r="Q292" i="1"/>
  <c r="Q293" i="1"/>
  <c r="Q294" i="1"/>
  <c r="Q309" i="1" s="1"/>
  <c r="Q96" i="1"/>
  <c r="Q119" i="1"/>
  <c r="Q13" i="1"/>
  <c r="Q141" i="1"/>
  <c r="Q18" i="1"/>
  <c r="Q163" i="1"/>
  <c r="Q23" i="1" s="1"/>
  <c r="Q188" i="1"/>
  <c r="Q28" i="1"/>
  <c r="Q211" i="1"/>
  <c r="Q34" i="1"/>
  <c r="Q258" i="1"/>
  <c r="Q44" i="1" s="1"/>
  <c r="Q284" i="1"/>
  <c r="Q50" i="1" s="1"/>
  <c r="Q97" i="1"/>
  <c r="Q8" i="1" s="1"/>
  <c r="Q120" i="1"/>
  <c r="Q142" i="1"/>
  <c r="Q19" i="1" s="1"/>
  <c r="Q164" i="1"/>
  <c r="Q24" i="1" s="1"/>
  <c r="Q189" i="1"/>
  <c r="Q29" i="1" s="1"/>
  <c r="Q212" i="1"/>
  <c r="Q35" i="1" s="1"/>
  <c r="Q37" i="1" s="1"/>
  <c r="Q259" i="1"/>
  <c r="Q45" i="1"/>
  <c r="Q285" i="1"/>
  <c r="Q51" i="1" s="1"/>
  <c r="Q286" i="1"/>
  <c r="Q99" i="1"/>
  <c r="Q10" i="1" s="1"/>
  <c r="Q121" i="1"/>
  <c r="Q15" i="1"/>
  <c r="Q143" i="1"/>
  <c r="Q20" i="1"/>
  <c r="Q165" i="1"/>
  <c r="Q25" i="1" s="1"/>
  <c r="Q191" i="1"/>
  <c r="Q31" i="1"/>
  <c r="Q213" i="1"/>
  <c r="Q36" i="1"/>
  <c r="Q261" i="1"/>
  <c r="Q47" i="1" s="1"/>
  <c r="Q287" i="1"/>
  <c r="Q53" i="1" s="1"/>
  <c r="Q54" i="1" s="1"/>
  <c r="Q301" i="1"/>
  <c r="Q265" i="1"/>
  <c r="Q271" i="1"/>
  <c r="Q277" i="1"/>
  <c r="Q239" i="1"/>
  <c r="Q245" i="1"/>
  <c r="Q238" i="1" s="1"/>
  <c r="Q251" i="1"/>
  <c r="Q195" i="1"/>
  <c r="Q200" i="1"/>
  <c r="Q205" i="1"/>
  <c r="Q169" i="1"/>
  <c r="Q175" i="1"/>
  <c r="Q181" i="1"/>
  <c r="Q147" i="1"/>
  <c r="Q152" i="1"/>
  <c r="Q157" i="1"/>
  <c r="Q125" i="1"/>
  <c r="Q130" i="1"/>
  <c r="Q135" i="1"/>
  <c r="Q103" i="1"/>
  <c r="Q118" i="1" s="1"/>
  <c r="Q16" i="1" s="1"/>
  <c r="Q108" i="1"/>
  <c r="Q89" i="1"/>
  <c r="Q83" i="1"/>
  <c r="Q77" i="1"/>
  <c r="P302" i="1"/>
  <c r="P307" i="1"/>
  <c r="P96" i="1"/>
  <c r="P7" i="1" s="1"/>
  <c r="P119" i="1"/>
  <c r="P13" i="1" s="1"/>
  <c r="P141" i="1"/>
  <c r="P18" i="1" s="1"/>
  <c r="P163" i="1"/>
  <c r="P188" i="1"/>
  <c r="P28" i="1" s="1"/>
  <c r="P211" i="1"/>
  <c r="P34" i="1" s="1"/>
  <c r="P258" i="1"/>
  <c r="P44" i="1" s="1"/>
  <c r="P284" i="1"/>
  <c r="P50" i="1"/>
  <c r="P97" i="1"/>
  <c r="P120" i="1"/>
  <c r="P14" i="1" s="1"/>
  <c r="P142" i="1"/>
  <c r="P19" i="1" s="1"/>
  <c r="P164" i="1"/>
  <c r="P189" i="1"/>
  <c r="P29" i="1" s="1"/>
  <c r="P212" i="1"/>
  <c r="P35" i="1"/>
  <c r="P259" i="1"/>
  <c r="P45" i="1" s="1"/>
  <c r="P285" i="1"/>
  <c r="P51" i="1" s="1"/>
  <c r="P303" i="1"/>
  <c r="P308" i="1" s="1"/>
  <c r="P286" i="1"/>
  <c r="P99" i="1"/>
  <c r="P10" i="1"/>
  <c r="P121" i="1"/>
  <c r="P15" i="1" s="1"/>
  <c r="P143" i="1"/>
  <c r="P20" i="1" s="1"/>
  <c r="P165" i="1"/>
  <c r="P25" i="1" s="1"/>
  <c r="P191" i="1"/>
  <c r="P31" i="1" s="1"/>
  <c r="P213" i="1"/>
  <c r="P36" i="1" s="1"/>
  <c r="P261" i="1"/>
  <c r="P47" i="1" s="1"/>
  <c r="P287" i="1"/>
  <c r="P53" i="1" s="1"/>
  <c r="P304" i="1"/>
  <c r="P296" i="1"/>
  <c r="P291" i="1"/>
  <c r="P265" i="1"/>
  <c r="P271" i="1"/>
  <c r="P264" i="1" s="1"/>
  <c r="P277" i="1"/>
  <c r="P239" i="1"/>
  <c r="P245" i="1"/>
  <c r="P251" i="1"/>
  <c r="P195" i="1"/>
  <c r="P200" i="1"/>
  <c r="P205" i="1"/>
  <c r="P194" i="1" s="1"/>
  <c r="P169" i="1"/>
  <c r="P168" i="1" s="1"/>
  <c r="P175" i="1"/>
  <c r="P187" i="1" s="1"/>
  <c r="P181" i="1"/>
  <c r="P147" i="1"/>
  <c r="P152" i="1"/>
  <c r="P157" i="1"/>
  <c r="P125" i="1"/>
  <c r="P130" i="1"/>
  <c r="P135" i="1"/>
  <c r="P103" i="1"/>
  <c r="P108" i="1"/>
  <c r="P113" i="1"/>
  <c r="P89" i="1"/>
  <c r="P83" i="1"/>
  <c r="P77" i="1"/>
  <c r="O284" i="1"/>
  <c r="O50" i="1"/>
  <c r="O285" i="1"/>
  <c r="O51" i="1" s="1"/>
  <c r="O286" i="1"/>
  <c r="O315" i="1" s="1"/>
  <c r="O63" i="1" s="1"/>
  <c r="O287" i="1"/>
  <c r="O53" i="1"/>
  <c r="O99" i="1"/>
  <c r="O10" i="1"/>
  <c r="O121" i="1"/>
  <c r="O15" i="1" s="1"/>
  <c r="O143" i="1"/>
  <c r="O20" i="1"/>
  <c r="O165" i="1"/>
  <c r="O25" i="1" s="1"/>
  <c r="O191" i="1"/>
  <c r="O31" i="1" s="1"/>
  <c r="O213" i="1"/>
  <c r="O36" i="1"/>
  <c r="O261" i="1"/>
  <c r="O47" i="1" s="1"/>
  <c r="O309" i="1"/>
  <c r="O58" i="1" s="1"/>
  <c r="O97" i="1"/>
  <c r="O8" i="1" s="1"/>
  <c r="O120" i="1"/>
  <c r="O14" i="1"/>
  <c r="O142" i="1"/>
  <c r="O19" i="1" s="1"/>
  <c r="O164" i="1"/>
  <c r="O189" i="1"/>
  <c r="O29" i="1" s="1"/>
  <c r="O32" i="1" s="1"/>
  <c r="O212" i="1"/>
  <c r="O35" i="1" s="1"/>
  <c r="O259" i="1"/>
  <c r="O45" i="1" s="1"/>
  <c r="O308" i="1"/>
  <c r="O96" i="1"/>
  <c r="O7" i="1"/>
  <c r="O119" i="1"/>
  <c r="O13" i="1" s="1"/>
  <c r="O141" i="1"/>
  <c r="O18" i="1" s="1"/>
  <c r="O21" i="1" s="1"/>
  <c r="O163" i="1"/>
  <c r="O23" i="1" s="1"/>
  <c r="O188" i="1"/>
  <c r="O28" i="1" s="1"/>
  <c r="O211" i="1"/>
  <c r="O34" i="1" s="1"/>
  <c r="O37" i="1" s="1"/>
  <c r="O258" i="1"/>
  <c r="O44" i="1" s="1"/>
  <c r="O48" i="1" s="1"/>
  <c r="O307" i="1"/>
  <c r="O301" i="1"/>
  <c r="O296" i="1"/>
  <c r="O291" i="1"/>
  <c r="K284" i="1"/>
  <c r="K50" i="1"/>
  <c r="K96" i="1"/>
  <c r="K119" i="1"/>
  <c r="K13" i="1" s="1"/>
  <c r="K141" i="1"/>
  <c r="K18" i="1" s="1"/>
  <c r="K163" i="1"/>
  <c r="K23" i="1" s="1"/>
  <c r="K188" i="1"/>
  <c r="K28" i="1" s="1"/>
  <c r="K211" i="1"/>
  <c r="K34" i="1" s="1"/>
  <c r="K258" i="1"/>
  <c r="K44" i="1" s="1"/>
  <c r="K285" i="1"/>
  <c r="K51" i="1" s="1"/>
  <c r="K97" i="1"/>
  <c r="K8" i="1"/>
  <c r="K120" i="1"/>
  <c r="K14" i="1"/>
  <c r="K142" i="1"/>
  <c r="K164" i="1"/>
  <c r="K24" i="1"/>
  <c r="K189" i="1"/>
  <c r="K29" i="1"/>
  <c r="K212" i="1"/>
  <c r="K35" i="1" s="1"/>
  <c r="K259" i="1"/>
  <c r="K45" i="1"/>
  <c r="K280" i="1"/>
  <c r="K274" i="1"/>
  <c r="K268" i="1"/>
  <c r="K99" i="1"/>
  <c r="K10" i="1" s="1"/>
  <c r="K121" i="1"/>
  <c r="K15" i="1" s="1"/>
  <c r="K143" i="1"/>
  <c r="K20" i="1" s="1"/>
  <c r="K165" i="1"/>
  <c r="K25" i="1" s="1"/>
  <c r="K26" i="1" s="1"/>
  <c r="K191" i="1"/>
  <c r="K31" i="1"/>
  <c r="K213" i="1"/>
  <c r="K36" i="1" s="1"/>
  <c r="K261" i="1"/>
  <c r="K47" i="1" s="1"/>
  <c r="K287" i="1"/>
  <c r="L284" i="1"/>
  <c r="L96" i="1"/>
  <c r="L119" i="1"/>
  <c r="L13" i="1" s="1"/>
  <c r="L141" i="1"/>
  <c r="L18" i="1" s="1"/>
  <c r="L163" i="1"/>
  <c r="L23" i="1" s="1"/>
  <c r="L26" i="1" s="1"/>
  <c r="L188" i="1"/>
  <c r="L28" i="1" s="1"/>
  <c r="L32" i="1" s="1"/>
  <c r="L211" i="1"/>
  <c r="L34" i="1"/>
  <c r="L258" i="1"/>
  <c r="L44" i="1" s="1"/>
  <c r="L307" i="1"/>
  <c r="L285" i="1"/>
  <c r="L51" i="1" s="1"/>
  <c r="L97" i="1"/>
  <c r="L120" i="1"/>
  <c r="L14" i="1" s="1"/>
  <c r="L142" i="1"/>
  <c r="L19" i="1" s="1"/>
  <c r="L164" i="1"/>
  <c r="L24" i="1"/>
  <c r="L189" i="1"/>
  <c r="L29" i="1" s="1"/>
  <c r="L212" i="1"/>
  <c r="L35" i="1" s="1"/>
  <c r="L259" i="1"/>
  <c r="L45" i="1" s="1"/>
  <c r="L308" i="1"/>
  <c r="L57" i="1"/>
  <c r="L280" i="1"/>
  <c r="L274" i="1"/>
  <c r="L268" i="1"/>
  <c r="L286" i="1" s="1"/>
  <c r="L315" i="1" s="1"/>
  <c r="L99" i="1"/>
  <c r="L121" i="1"/>
  <c r="L15" i="1" s="1"/>
  <c r="L143" i="1"/>
  <c r="L20" i="1" s="1"/>
  <c r="L165" i="1"/>
  <c r="L25" i="1"/>
  <c r="L191" i="1"/>
  <c r="L31" i="1"/>
  <c r="L213" i="1"/>
  <c r="L36" i="1" s="1"/>
  <c r="L261" i="1"/>
  <c r="L47" i="1" s="1"/>
  <c r="L48" i="1" s="1"/>
  <c r="L287" i="1"/>
  <c r="L53" i="1" s="1"/>
  <c r="L309" i="1"/>
  <c r="L58" i="1"/>
  <c r="M96" i="1"/>
  <c r="M7" i="1"/>
  <c r="M119" i="1"/>
  <c r="M13" i="1" s="1"/>
  <c r="M141" i="1"/>
  <c r="M18" i="1"/>
  <c r="M21" i="1" s="1"/>
  <c r="M163" i="1"/>
  <c r="M23" i="1"/>
  <c r="M188" i="1"/>
  <c r="M211" i="1"/>
  <c r="M34" i="1"/>
  <c r="M258" i="1"/>
  <c r="M44" i="1" s="1"/>
  <c r="M284" i="1"/>
  <c r="M50" i="1" s="1"/>
  <c r="M307" i="1"/>
  <c r="M97" i="1"/>
  <c r="M120" i="1"/>
  <c r="M14" i="1"/>
  <c r="M142" i="1"/>
  <c r="M19" i="1" s="1"/>
  <c r="M164" i="1"/>
  <c r="M24" i="1" s="1"/>
  <c r="M189" i="1"/>
  <c r="M29" i="1" s="1"/>
  <c r="M212" i="1"/>
  <c r="M35" i="1"/>
  <c r="M259" i="1"/>
  <c r="M45" i="1" s="1"/>
  <c r="M285" i="1"/>
  <c r="M51" i="1" s="1"/>
  <c r="M308" i="1"/>
  <c r="M268" i="1"/>
  <c r="M274" i="1"/>
  <c r="M280" i="1"/>
  <c r="M99" i="1"/>
  <c r="M10" i="1" s="1"/>
  <c r="M121" i="1"/>
  <c r="M15" i="1" s="1"/>
  <c r="M143" i="1"/>
  <c r="M20" i="1"/>
  <c r="M165" i="1"/>
  <c r="M25" i="1" s="1"/>
  <c r="M191" i="1"/>
  <c r="M31" i="1" s="1"/>
  <c r="M213" i="1"/>
  <c r="M36" i="1" s="1"/>
  <c r="M261" i="1"/>
  <c r="M47" i="1" s="1"/>
  <c r="M287" i="1"/>
  <c r="M53" i="1" s="1"/>
  <c r="M309" i="1"/>
  <c r="M58" i="1" s="1"/>
  <c r="N97" i="1"/>
  <c r="N8" i="1"/>
  <c r="N120" i="1"/>
  <c r="N14" i="1" s="1"/>
  <c r="N142" i="1"/>
  <c r="N164" i="1"/>
  <c r="N24" i="1"/>
  <c r="N189" i="1"/>
  <c r="N29" i="1" s="1"/>
  <c r="N212" i="1"/>
  <c r="N35" i="1"/>
  <c r="N259" i="1"/>
  <c r="N45" i="1" s="1"/>
  <c r="N285" i="1"/>
  <c r="N51" i="1" s="1"/>
  <c r="N96" i="1"/>
  <c r="N119" i="1"/>
  <c r="N141" i="1"/>
  <c r="N18" i="1" s="1"/>
  <c r="N163" i="1"/>
  <c r="N23" i="1" s="1"/>
  <c r="N188" i="1"/>
  <c r="N211" i="1"/>
  <c r="N34" i="1" s="1"/>
  <c r="N37" i="1" s="1"/>
  <c r="N258" i="1"/>
  <c r="N284" i="1"/>
  <c r="N50" i="1" s="1"/>
  <c r="N268" i="1"/>
  <c r="N274" i="1"/>
  <c r="N286" i="1" s="1"/>
  <c r="N280" i="1"/>
  <c r="N99" i="1"/>
  <c r="N121" i="1"/>
  <c r="N15" i="1" s="1"/>
  <c r="N143" i="1"/>
  <c r="N20" i="1"/>
  <c r="N165" i="1"/>
  <c r="N25" i="1" s="1"/>
  <c r="N191" i="1"/>
  <c r="N31" i="1" s="1"/>
  <c r="N213" i="1"/>
  <c r="N36" i="1" s="1"/>
  <c r="N261" i="1"/>
  <c r="N47" i="1" s="1"/>
  <c r="N287" i="1"/>
  <c r="N53" i="1" s="1"/>
  <c r="O265" i="1"/>
  <c r="O264" i="1" s="1"/>
  <c r="O271" i="1"/>
  <c r="O277" i="1"/>
  <c r="F265" i="1"/>
  <c r="G268" i="1"/>
  <c r="G265" i="1"/>
  <c r="H268" i="1"/>
  <c r="H265" i="1"/>
  <c r="I265" i="1"/>
  <c r="J268" i="1"/>
  <c r="N264" i="1"/>
  <c r="M264" i="1"/>
  <c r="L264" i="1"/>
  <c r="K264" i="1"/>
  <c r="N56" i="1"/>
  <c r="N57" i="1"/>
  <c r="N58" i="1"/>
  <c r="N59" i="1" s="1"/>
  <c r="O239" i="1"/>
  <c r="O245" i="1"/>
  <c r="O238" i="1" s="1"/>
  <c r="O251" i="1"/>
  <c r="O195" i="1"/>
  <c r="O200" i="1"/>
  <c r="O205" i="1"/>
  <c r="O169" i="1"/>
  <c r="O187" i="1" s="1"/>
  <c r="O175" i="1"/>
  <c r="O181" i="1"/>
  <c r="O147" i="1"/>
  <c r="O152" i="1"/>
  <c r="O157" i="1"/>
  <c r="O125" i="1"/>
  <c r="O130" i="1"/>
  <c r="O135" i="1"/>
  <c r="O103" i="1"/>
  <c r="O108" i="1"/>
  <c r="O113" i="1"/>
  <c r="O118" i="1" s="1"/>
  <c r="O16" i="1" s="1"/>
  <c r="O89" i="1"/>
  <c r="O83" i="1"/>
  <c r="O77" i="1"/>
  <c r="M57" i="1"/>
  <c r="L169" i="1"/>
  <c r="G306" i="1"/>
  <c r="H306" i="1"/>
  <c r="J306" i="1"/>
  <c r="K306" i="1"/>
  <c r="F306" i="1"/>
  <c r="G56" i="1"/>
  <c r="H56" i="1"/>
  <c r="I56" i="1"/>
  <c r="J56" i="1"/>
  <c r="K56" i="1"/>
  <c r="G57" i="1"/>
  <c r="H57" i="1"/>
  <c r="I57" i="1"/>
  <c r="J57" i="1"/>
  <c r="K57" i="1"/>
  <c r="G58" i="1"/>
  <c r="H58" i="1"/>
  <c r="J58" i="1"/>
  <c r="K58" i="1"/>
  <c r="F58" i="1"/>
  <c r="F57" i="1"/>
  <c r="F59" i="1" s="1"/>
  <c r="F56" i="1"/>
  <c r="E13" i="1"/>
  <c r="E23" i="1"/>
  <c r="E61" i="1" s="1"/>
  <c r="E44" i="1"/>
  <c r="E8" i="1"/>
  <c r="E14" i="1"/>
  <c r="E16" i="1" s="1"/>
  <c r="E24" i="1"/>
  <c r="E29" i="1"/>
  <c r="E32" i="1" s="1"/>
  <c r="E35" i="1"/>
  <c r="E37" i="1"/>
  <c r="E45" i="1"/>
  <c r="E52" i="1"/>
  <c r="E64" i="1"/>
  <c r="D64" i="1"/>
  <c r="D62" i="1"/>
  <c r="D61" i="1"/>
  <c r="G78" i="1"/>
  <c r="G84" i="1"/>
  <c r="G96" i="1" s="1"/>
  <c r="G7" i="1" s="1"/>
  <c r="G90" i="1"/>
  <c r="G109" i="1"/>
  <c r="G126" i="1"/>
  <c r="G131" i="1"/>
  <c r="G136" i="1"/>
  <c r="G135" i="1" s="1"/>
  <c r="G148" i="1"/>
  <c r="G147" i="1" s="1"/>
  <c r="G146" i="1" s="1"/>
  <c r="G153" i="1"/>
  <c r="G158" i="1"/>
  <c r="G170" i="1"/>
  <c r="G176" i="1"/>
  <c r="G175" i="1" s="1"/>
  <c r="G182" i="1"/>
  <c r="G196" i="1"/>
  <c r="G195" i="1" s="1"/>
  <c r="G201" i="1"/>
  <c r="G206" i="1"/>
  <c r="G240" i="1"/>
  <c r="G246" i="1"/>
  <c r="G252" i="1"/>
  <c r="G258" i="1" s="1"/>
  <c r="G44" i="1" s="1"/>
  <c r="H78" i="1"/>
  <c r="H84" i="1"/>
  <c r="H90" i="1"/>
  <c r="H89" i="1" s="1"/>
  <c r="H119" i="1"/>
  <c r="H13" i="1" s="1"/>
  <c r="H141" i="1"/>
  <c r="H18" i="1" s="1"/>
  <c r="H148" i="1"/>
  <c r="H153" i="1"/>
  <c r="H152" i="1"/>
  <c r="H158" i="1"/>
  <c r="H170" i="1"/>
  <c r="H176" i="1"/>
  <c r="H182" i="1"/>
  <c r="H211" i="1"/>
  <c r="H34" i="1"/>
  <c r="H240" i="1"/>
  <c r="H246" i="1"/>
  <c r="H245" i="1" s="1"/>
  <c r="H252" i="1"/>
  <c r="I84" i="1"/>
  <c r="I90" i="1"/>
  <c r="I119" i="1"/>
  <c r="I13" i="1" s="1"/>
  <c r="I141" i="1"/>
  <c r="I18" i="1" s="1"/>
  <c r="I148" i="1"/>
  <c r="I153" i="1"/>
  <c r="I158" i="1"/>
  <c r="I170" i="1"/>
  <c r="I176" i="1"/>
  <c r="I182" i="1"/>
  <c r="I211" i="1"/>
  <c r="I34" i="1" s="1"/>
  <c r="I240" i="1"/>
  <c r="I246" i="1"/>
  <c r="I252" i="1"/>
  <c r="I251" i="1"/>
  <c r="J84" i="1"/>
  <c r="J96" i="1" s="1"/>
  <c r="J119" i="1"/>
  <c r="J13" i="1" s="1"/>
  <c r="J141" i="1"/>
  <c r="J18" i="1" s="1"/>
  <c r="J153" i="1"/>
  <c r="J163" i="1" s="1"/>
  <c r="J23" i="1" s="1"/>
  <c r="J170" i="1"/>
  <c r="J169" i="1" s="1"/>
  <c r="J176" i="1"/>
  <c r="J175" i="1"/>
  <c r="J211" i="1"/>
  <c r="J34" i="1" s="1"/>
  <c r="J240" i="1"/>
  <c r="J246" i="1"/>
  <c r="G79" i="1"/>
  <c r="G77" i="1" s="1"/>
  <c r="G85" i="1"/>
  <c r="G91" i="1"/>
  <c r="G89" i="1" s="1"/>
  <c r="G105" i="1"/>
  <c r="G110" i="1"/>
  <c r="G115" i="1"/>
  <c r="G113" i="1" s="1"/>
  <c r="G127" i="1"/>
  <c r="G132" i="1"/>
  <c r="G130" i="1" s="1"/>
  <c r="G137" i="1"/>
  <c r="G149" i="1"/>
  <c r="G164" i="1" s="1"/>
  <c r="G24" i="1" s="1"/>
  <c r="G154" i="1"/>
  <c r="G159" i="1"/>
  <c r="G157" i="1" s="1"/>
  <c r="G171" i="1"/>
  <c r="G177" i="1"/>
  <c r="G183" i="1"/>
  <c r="G197" i="1"/>
  <c r="G202" i="1"/>
  <c r="G207" i="1"/>
  <c r="G205" i="1"/>
  <c r="G241" i="1"/>
  <c r="G247" i="1"/>
  <c r="G245" i="1" s="1"/>
  <c r="G259" i="1"/>
  <c r="G45" i="1" s="1"/>
  <c r="G253" i="1"/>
  <c r="H79" i="1"/>
  <c r="H85" i="1"/>
  <c r="H91" i="1"/>
  <c r="H105" i="1"/>
  <c r="H110" i="1"/>
  <c r="H108" i="1" s="1"/>
  <c r="H115" i="1"/>
  <c r="H127" i="1"/>
  <c r="H125" i="1" s="1"/>
  <c r="H132" i="1"/>
  <c r="H130" i="1" s="1"/>
  <c r="H137" i="1"/>
  <c r="H135" i="1" s="1"/>
  <c r="H149" i="1"/>
  <c r="H164" i="1" s="1"/>
  <c r="H24" i="1" s="1"/>
  <c r="H154" i="1"/>
  <c r="H159" i="1"/>
  <c r="H171" i="1"/>
  <c r="H177" i="1"/>
  <c r="H175" i="1"/>
  <c r="H168" i="1" s="1"/>
  <c r="H183" i="1"/>
  <c r="H197" i="1"/>
  <c r="H202" i="1"/>
  <c r="H207" i="1"/>
  <c r="H205" i="1" s="1"/>
  <c r="H241" i="1"/>
  <c r="H247" i="1"/>
  <c r="H253" i="1"/>
  <c r="I79" i="1"/>
  <c r="I85" i="1"/>
  <c r="I91" i="1"/>
  <c r="I89" i="1" s="1"/>
  <c r="I105" i="1"/>
  <c r="I110" i="1"/>
  <c r="I108" i="1" s="1"/>
  <c r="I115" i="1"/>
  <c r="I120" i="1" s="1"/>
  <c r="I127" i="1"/>
  <c r="I125" i="1" s="1"/>
  <c r="I132" i="1"/>
  <c r="I130" i="1" s="1"/>
  <c r="I137" i="1"/>
  <c r="I135" i="1"/>
  <c r="I149" i="1"/>
  <c r="I154" i="1"/>
  <c r="I152" i="1" s="1"/>
  <c r="I159" i="1"/>
  <c r="I171" i="1"/>
  <c r="I177" i="1"/>
  <c r="I183" i="1"/>
  <c r="I181" i="1" s="1"/>
  <c r="I197" i="1"/>
  <c r="I195" i="1"/>
  <c r="I202" i="1"/>
  <c r="I200" i="1" s="1"/>
  <c r="I207" i="1"/>
  <c r="I205" i="1" s="1"/>
  <c r="I241" i="1"/>
  <c r="I247" i="1"/>
  <c r="I253" i="1"/>
  <c r="J79" i="1"/>
  <c r="J77" i="1" s="1"/>
  <c r="J85" i="1"/>
  <c r="J105" i="1"/>
  <c r="J110" i="1"/>
  <c r="J108" i="1" s="1"/>
  <c r="J127" i="1"/>
  <c r="J125" i="1" s="1"/>
  <c r="J132" i="1"/>
  <c r="J130" i="1" s="1"/>
  <c r="J124" i="1" s="1"/>
  <c r="J149" i="1"/>
  <c r="J147" i="1"/>
  <c r="J162" i="1" s="1"/>
  <c r="J154" i="1"/>
  <c r="J171" i="1"/>
  <c r="J189" i="1" s="1"/>
  <c r="J29" i="1" s="1"/>
  <c r="J177" i="1"/>
  <c r="J197" i="1"/>
  <c r="J195" i="1"/>
  <c r="J202" i="1"/>
  <c r="J200" i="1" s="1"/>
  <c r="J210" i="1" s="1"/>
  <c r="J194" i="1"/>
  <c r="J241" i="1"/>
  <c r="J239" i="1" s="1"/>
  <c r="J247" i="1"/>
  <c r="G274" i="1"/>
  <c r="G280" i="1"/>
  <c r="G277" i="1" s="1"/>
  <c r="H274" i="1"/>
  <c r="H271" i="1" s="1"/>
  <c r="H280" i="1"/>
  <c r="I274" i="1"/>
  <c r="I271" i="1" s="1"/>
  <c r="I280" i="1"/>
  <c r="I277" i="1" s="1"/>
  <c r="I283" i="1" s="1"/>
  <c r="J274" i="1"/>
  <c r="J271" i="1"/>
  <c r="G99" i="1"/>
  <c r="G10" i="1"/>
  <c r="G121" i="1"/>
  <c r="G15" i="1" s="1"/>
  <c r="G143" i="1"/>
  <c r="G20" i="1" s="1"/>
  <c r="G165" i="1"/>
  <c r="G191" i="1"/>
  <c r="G31" i="1" s="1"/>
  <c r="G213" i="1"/>
  <c r="G36" i="1"/>
  <c r="G261" i="1"/>
  <c r="G47" i="1" s="1"/>
  <c r="G287" i="1"/>
  <c r="G53" i="1" s="1"/>
  <c r="H99" i="1"/>
  <c r="H10" i="1" s="1"/>
  <c r="H121" i="1"/>
  <c r="H15" i="1" s="1"/>
  <c r="H143" i="1"/>
  <c r="H20" i="1" s="1"/>
  <c r="H165" i="1"/>
  <c r="H25" i="1" s="1"/>
  <c r="H191" i="1"/>
  <c r="H31" i="1" s="1"/>
  <c r="H213" i="1"/>
  <c r="H36" i="1" s="1"/>
  <c r="H261" i="1"/>
  <c r="H47" i="1" s="1"/>
  <c r="H287" i="1"/>
  <c r="H53" i="1" s="1"/>
  <c r="I99" i="1"/>
  <c r="I121" i="1"/>
  <c r="I15" i="1" s="1"/>
  <c r="I143" i="1"/>
  <c r="I20" i="1"/>
  <c r="I165" i="1"/>
  <c r="I25" i="1" s="1"/>
  <c r="I191" i="1"/>
  <c r="I31" i="1"/>
  <c r="I213" i="1"/>
  <c r="I36" i="1"/>
  <c r="I261" i="1"/>
  <c r="I47" i="1"/>
  <c r="I287" i="1"/>
  <c r="I53" i="1" s="1"/>
  <c r="J99" i="1"/>
  <c r="J121" i="1"/>
  <c r="J15" i="1" s="1"/>
  <c r="J143" i="1"/>
  <c r="J165" i="1"/>
  <c r="J25" i="1" s="1"/>
  <c r="J191" i="1"/>
  <c r="J31" i="1" s="1"/>
  <c r="J213" i="1"/>
  <c r="J36" i="1"/>
  <c r="J261" i="1"/>
  <c r="J47" i="1" s="1"/>
  <c r="J287" i="1"/>
  <c r="J53" i="1" s="1"/>
  <c r="F99" i="1"/>
  <c r="F10" i="1" s="1"/>
  <c r="F121" i="1"/>
  <c r="F15" i="1"/>
  <c r="F143" i="1"/>
  <c r="F20" i="1" s="1"/>
  <c r="F165" i="1"/>
  <c r="F191" i="1"/>
  <c r="F31" i="1" s="1"/>
  <c r="F213" i="1"/>
  <c r="F36" i="1"/>
  <c r="F261" i="1"/>
  <c r="F47" i="1" s="1"/>
  <c r="F287" i="1"/>
  <c r="F53" i="1" s="1"/>
  <c r="F54" i="1" s="1"/>
  <c r="F97" i="1"/>
  <c r="F8" i="1" s="1"/>
  <c r="F120" i="1"/>
  <c r="F14" i="1" s="1"/>
  <c r="F142" i="1"/>
  <c r="F19" i="1" s="1"/>
  <c r="F164" i="1"/>
  <c r="F24" i="1" s="1"/>
  <c r="F189" i="1"/>
  <c r="F29" i="1" s="1"/>
  <c r="F212" i="1"/>
  <c r="F35" i="1" s="1"/>
  <c r="F259" i="1"/>
  <c r="F45" i="1" s="1"/>
  <c r="F96" i="1"/>
  <c r="F119" i="1"/>
  <c r="F13" i="1" s="1"/>
  <c r="F141" i="1"/>
  <c r="F18" i="1" s="1"/>
  <c r="F163" i="1"/>
  <c r="F23" i="1" s="1"/>
  <c r="F188" i="1"/>
  <c r="F28" i="1" s="1"/>
  <c r="F211" i="1"/>
  <c r="F34" i="1"/>
  <c r="F258" i="1"/>
  <c r="F44" i="1"/>
  <c r="E59" i="1"/>
  <c r="D59" i="1"/>
  <c r="N239" i="1"/>
  <c r="N245" i="1"/>
  <c r="N251" i="1"/>
  <c r="N195" i="1"/>
  <c r="N200" i="1"/>
  <c r="N205" i="1"/>
  <c r="N169" i="1"/>
  <c r="N175" i="1"/>
  <c r="N181" i="1"/>
  <c r="N147" i="1"/>
  <c r="N162" i="1" s="1"/>
  <c r="N152" i="1"/>
  <c r="N157" i="1"/>
  <c r="N125" i="1"/>
  <c r="N130" i="1"/>
  <c r="N135" i="1"/>
  <c r="N103" i="1"/>
  <c r="N108" i="1"/>
  <c r="N113" i="1"/>
  <c r="N89" i="1"/>
  <c r="N83" i="1"/>
  <c r="N77" i="1"/>
  <c r="M239" i="1"/>
  <c r="M245" i="1"/>
  <c r="M251" i="1"/>
  <c r="M195" i="1"/>
  <c r="M200" i="1"/>
  <c r="M210" i="1" s="1"/>
  <c r="M205" i="1"/>
  <c r="M169" i="1"/>
  <c r="M175" i="1"/>
  <c r="M181" i="1"/>
  <c r="M147" i="1"/>
  <c r="M152" i="1"/>
  <c r="M157" i="1"/>
  <c r="M125" i="1"/>
  <c r="M140" i="1" s="1"/>
  <c r="M130" i="1"/>
  <c r="M135" i="1"/>
  <c r="M103" i="1"/>
  <c r="M108" i="1"/>
  <c r="M113" i="1"/>
  <c r="M89" i="1"/>
  <c r="M83" i="1"/>
  <c r="M77" i="1"/>
  <c r="L239" i="1"/>
  <c r="L245" i="1"/>
  <c r="L257" i="1" s="1"/>
  <c r="L251" i="1"/>
  <c r="L195" i="1"/>
  <c r="L200" i="1"/>
  <c r="L205" i="1"/>
  <c r="L175" i="1"/>
  <c r="L181" i="1"/>
  <c r="L147" i="1"/>
  <c r="L152" i="1"/>
  <c r="L146" i="1" s="1"/>
  <c r="L157" i="1"/>
  <c r="L125" i="1"/>
  <c r="L130" i="1"/>
  <c r="L135" i="1"/>
  <c r="L103" i="1"/>
  <c r="L118" i="1" s="1"/>
  <c r="L16" i="1" s="1"/>
  <c r="L108" i="1"/>
  <c r="L113" i="1"/>
  <c r="L89" i="1"/>
  <c r="L83" i="1"/>
  <c r="L77" i="1"/>
  <c r="F286" i="1"/>
  <c r="F52" i="1"/>
  <c r="D52" i="1"/>
  <c r="J277" i="1"/>
  <c r="J283" i="1" s="1"/>
  <c r="F277" i="1"/>
  <c r="F271" i="1"/>
  <c r="J251" i="1"/>
  <c r="K251" i="1"/>
  <c r="F251" i="1"/>
  <c r="K245" i="1"/>
  <c r="F245" i="1"/>
  <c r="D48" i="1"/>
  <c r="K239" i="1"/>
  <c r="K257" i="1" s="1"/>
  <c r="F239" i="1"/>
  <c r="F257" i="1" s="1"/>
  <c r="J205" i="1"/>
  <c r="K205" i="1"/>
  <c r="F205" i="1"/>
  <c r="K200" i="1"/>
  <c r="F200" i="1"/>
  <c r="K195" i="1"/>
  <c r="F195" i="1"/>
  <c r="D37" i="1"/>
  <c r="J181" i="1"/>
  <c r="K181" i="1"/>
  <c r="F181" i="1"/>
  <c r="D32" i="1"/>
  <c r="D26" i="1"/>
  <c r="D21" i="1"/>
  <c r="E21" i="1"/>
  <c r="K175" i="1"/>
  <c r="F175" i="1"/>
  <c r="K169" i="1"/>
  <c r="F169" i="1"/>
  <c r="J157" i="1"/>
  <c r="K157" i="1"/>
  <c r="F157" i="1"/>
  <c r="G152" i="1"/>
  <c r="K152" i="1"/>
  <c r="F152" i="1"/>
  <c r="K147" i="1"/>
  <c r="F147" i="1"/>
  <c r="J135" i="1"/>
  <c r="K135" i="1"/>
  <c r="F135" i="1"/>
  <c r="K130" i="1"/>
  <c r="F130" i="1"/>
  <c r="K125" i="1"/>
  <c r="F125" i="1"/>
  <c r="F124" i="1" s="1"/>
  <c r="I103" i="1"/>
  <c r="J113" i="1"/>
  <c r="K103" i="1"/>
  <c r="K118" i="1" s="1"/>
  <c r="K16" i="1" s="1"/>
  <c r="K108" i="1"/>
  <c r="K113" i="1"/>
  <c r="F103" i="1"/>
  <c r="F108" i="1"/>
  <c r="F113" i="1"/>
  <c r="J89" i="1"/>
  <c r="K77" i="1"/>
  <c r="K83" i="1"/>
  <c r="K89" i="1"/>
  <c r="F77" i="1"/>
  <c r="F83" i="1"/>
  <c r="F89" i="1"/>
  <c r="D11" i="1"/>
  <c r="D16" i="1"/>
  <c r="I306" i="1"/>
  <c r="I58" i="1"/>
  <c r="N306" i="1"/>
  <c r="V168" i="1"/>
  <c r="AC307" i="1"/>
  <c r="AC296" i="1"/>
  <c r="W296" i="1"/>
  <c r="X307" i="1"/>
  <c r="U194" i="1"/>
  <c r="J59" i="1"/>
  <c r="W118" i="1"/>
  <c r="W16" i="1" s="1"/>
  <c r="R307" i="1"/>
  <c r="T210" i="1"/>
  <c r="J232" i="1"/>
  <c r="K286" i="1"/>
  <c r="K52" i="1" s="1"/>
  <c r="J216" i="1"/>
  <c r="U124" i="1"/>
  <c r="X232" i="1"/>
  <c r="J142" i="1"/>
  <c r="J19" i="1" s="1"/>
  <c r="S210" i="1"/>
  <c r="U146" i="1"/>
  <c r="O52" i="1"/>
  <c r="L140" i="1"/>
  <c r="V187" i="1"/>
  <c r="Q315" i="1"/>
  <c r="Q63" i="1" s="1"/>
  <c r="Q52" i="1"/>
  <c r="J258" i="1"/>
  <c r="J44" i="1" s="1"/>
  <c r="X56" i="1"/>
  <c r="F315" i="1"/>
  <c r="F63" i="1" s="1"/>
  <c r="P52" i="1"/>
  <c r="P54" i="1" s="1"/>
  <c r="P315" i="1"/>
  <c r="P63" i="1"/>
  <c r="Q283" i="1"/>
  <c r="R140" i="1"/>
  <c r="R264" i="1"/>
  <c r="S315" i="1"/>
  <c r="S63" i="1" s="1"/>
  <c r="S52" i="1"/>
  <c r="J212" i="1"/>
  <c r="J35" i="1" s="1"/>
  <c r="H189" i="1"/>
  <c r="H113" i="1"/>
  <c r="G103" i="1"/>
  <c r="H181" i="1"/>
  <c r="X118" i="1"/>
  <c r="X16" i="1" s="1"/>
  <c r="H259" i="1"/>
  <c r="H45" i="1" s="1"/>
  <c r="Q194" i="1"/>
  <c r="V283" i="1"/>
  <c r="N44" i="1"/>
  <c r="H188" i="1"/>
  <c r="H28" i="1" s="1"/>
  <c r="H32" i="1" s="1"/>
  <c r="V56" i="1"/>
  <c r="F140" i="1"/>
  <c r="H277" i="1"/>
  <c r="H264" i="1"/>
  <c r="L194" i="1"/>
  <c r="P146" i="1"/>
  <c r="P162" i="1"/>
  <c r="T124" i="1"/>
  <c r="T140" i="1"/>
  <c r="E63" i="1"/>
  <c r="E54" i="1"/>
  <c r="Q168" i="1"/>
  <c r="E48" i="1"/>
  <c r="AC146" i="1"/>
  <c r="I142" i="1"/>
  <c r="I19" i="1" s="1"/>
  <c r="R217" i="1"/>
  <c r="R232" i="1" s="1"/>
  <c r="S257" i="1"/>
  <c r="H169" i="1"/>
  <c r="H251" i="1"/>
  <c r="H59" i="1"/>
  <c r="P283" i="1"/>
  <c r="V146" i="1"/>
  <c r="W238" i="1"/>
  <c r="E11" i="1"/>
  <c r="S307" i="1"/>
  <c r="S296" i="1"/>
  <c r="U315" i="1"/>
  <c r="U63" i="1" s="1"/>
  <c r="X52" i="1"/>
  <c r="X216" i="1"/>
  <c r="W194" i="1"/>
  <c r="R216" i="1"/>
  <c r="Y58" i="1"/>
  <c r="S306" i="1"/>
  <c r="S56" i="1"/>
  <c r="L52" i="1"/>
  <c r="L63" i="1"/>
  <c r="W301" i="1"/>
  <c r="W307" i="1"/>
  <c r="M146" i="1"/>
  <c r="M162" i="1"/>
  <c r="M28" i="1"/>
  <c r="M32" i="1" s="1"/>
  <c r="F187" i="1"/>
  <c r="F168" i="1"/>
  <c r="G119" i="1"/>
  <c r="G169" i="1"/>
  <c r="G188" i="1"/>
  <c r="G28" i="1" s="1"/>
  <c r="J286" i="1"/>
  <c r="J265" i="1"/>
  <c r="O95" i="1"/>
  <c r="O11" i="1" s="1"/>
  <c r="H200" i="1"/>
  <c r="V7" i="1"/>
  <c r="AC162" i="1"/>
  <c r="H124" i="1"/>
  <c r="N7" i="1"/>
  <c r="P56" i="1"/>
  <c r="L216" i="1"/>
  <c r="L232" i="1"/>
  <c r="J164" i="1"/>
  <c r="J24" i="1" s="1"/>
  <c r="J152" i="1"/>
  <c r="O57" i="1"/>
  <c r="T257" i="1"/>
  <c r="T238" i="1"/>
  <c r="V216" i="1"/>
  <c r="J146" i="1"/>
  <c r="S146" i="1"/>
  <c r="N283" i="1"/>
  <c r="R187" i="1"/>
  <c r="N238" i="1"/>
  <c r="N187" i="1"/>
  <c r="M238" i="1"/>
  <c r="L37" i="1"/>
  <c r="F37" i="1"/>
  <c r="J37" i="1"/>
  <c r="T37" i="1"/>
  <c r="Z42" i="1"/>
  <c r="L21" i="1"/>
  <c r="P24" i="1"/>
  <c r="O313" i="1"/>
  <c r="O61" i="1" s="1"/>
  <c r="F21" i="1"/>
  <c r="P23" i="1"/>
  <c r="M313" i="1"/>
  <c r="M61" i="1" s="1"/>
  <c r="N13" i="1"/>
  <c r="T26" i="1"/>
  <c r="W26" i="1"/>
  <c r="X21" i="1"/>
  <c r="Z26" i="1"/>
  <c r="I21" i="1"/>
  <c r="R314" i="1"/>
  <c r="R62" i="1" s="1"/>
  <c r="H316" i="1"/>
  <c r="H64" i="1" s="1"/>
  <c r="Z21" i="1"/>
  <c r="G13" i="1"/>
  <c r="H29" i="1"/>
  <c r="I14" i="1"/>
  <c r="W19" i="1"/>
  <c r="T314" i="1"/>
  <c r="T62" i="1" s="1"/>
  <c r="Q32" i="1"/>
  <c r="Q313" i="1"/>
  <c r="Q61" i="1" s="1"/>
  <c r="R32" i="1"/>
  <c r="X313" i="1"/>
  <c r="X61" i="1" s="1"/>
  <c r="K7" i="1"/>
  <c r="J10" i="1"/>
  <c r="U7" i="1"/>
  <c r="I10" i="1"/>
  <c r="V8" i="1"/>
  <c r="X10" i="1"/>
  <c r="Z7" i="1"/>
  <c r="L313" i="1"/>
  <c r="L61" i="1" s="1"/>
  <c r="M316" i="1"/>
  <c r="M64" i="1" s="1"/>
  <c r="K313" i="1"/>
  <c r="L7" i="1"/>
  <c r="Z95" i="1"/>
  <c r="Z11" i="1" s="1"/>
  <c r="Z314" i="1"/>
  <c r="Z62" i="1" s="1"/>
  <c r="M95" i="1"/>
  <c r="M11" i="1" s="1"/>
  <c r="Z48" i="1"/>
  <c r="Z124" i="1"/>
  <c r="Z146" i="1"/>
  <c r="Z168" i="1"/>
  <c r="Z194" i="1"/>
  <c r="Z216" i="1"/>
  <c r="Z238" i="1"/>
  <c r="Z264" i="1"/>
  <c r="Z315" i="1"/>
  <c r="Z63" i="1" s="1"/>
  <c r="Z8" i="1"/>
  <c r="K61" i="1"/>
  <c r="AA52" i="1"/>
  <c r="AA58" i="1"/>
  <c r="AC321" i="1" l="1"/>
  <c r="AC322" i="1" s="1"/>
  <c r="AC118" i="1"/>
  <c r="AC320" i="1"/>
  <c r="AC216" i="1"/>
  <c r="AC319" i="1"/>
  <c r="AC187" i="1"/>
  <c r="AC232" i="1"/>
  <c r="AC168" i="1"/>
  <c r="D54" i="1"/>
  <c r="D63" i="1"/>
  <c r="N19" i="1"/>
  <c r="N21" i="1" s="1"/>
  <c r="N314" i="1"/>
  <c r="N62" i="1" s="1"/>
  <c r="O24" i="1"/>
  <c r="O314" i="1"/>
  <c r="O62" i="1" s="1"/>
  <c r="P309" i="1"/>
  <c r="P58" i="1" s="1"/>
  <c r="P59" i="1" s="1"/>
  <c r="P301" i="1"/>
  <c r="S313" i="1"/>
  <c r="S61" i="1" s="1"/>
  <c r="Z313" i="1"/>
  <c r="Z61" i="1" s="1"/>
  <c r="Z28" i="1"/>
  <c r="Z32" i="1" s="1"/>
  <c r="F316" i="1"/>
  <c r="F64" i="1" s="1"/>
  <c r="F25" i="1"/>
  <c r="I316" i="1"/>
  <c r="I64" i="1" s="1"/>
  <c r="Q257" i="1"/>
  <c r="G316" i="1"/>
  <c r="G64" i="1" s="1"/>
  <c r="G25" i="1"/>
  <c r="G200" i="1"/>
  <c r="D65" i="1"/>
  <c r="L8" i="1"/>
  <c r="L314" i="1"/>
  <c r="L62" i="1" s="1"/>
  <c r="T162" i="1"/>
  <c r="T146" i="1"/>
  <c r="T283" i="1"/>
  <c r="T264" i="1"/>
  <c r="V140" i="1"/>
  <c r="V124" i="1"/>
  <c r="Y168" i="1"/>
  <c r="AA257" i="1"/>
  <c r="AA238" i="1"/>
  <c r="J52" i="1"/>
  <c r="J315" i="1"/>
  <c r="J63" i="1" s="1"/>
  <c r="N146" i="1"/>
  <c r="H195" i="1"/>
  <c r="H212" i="1"/>
  <c r="H35" i="1" s="1"/>
  <c r="H83" i="1"/>
  <c r="G141" i="1"/>
  <c r="G18" i="1" s="1"/>
  <c r="L56" i="1"/>
  <c r="L59" i="1" s="1"/>
  <c r="L306" i="1"/>
  <c r="O56" i="1"/>
  <c r="O306" i="1"/>
  <c r="O54" i="1"/>
  <c r="P57" i="1"/>
  <c r="P21" i="1"/>
  <c r="Q308" i="1"/>
  <c r="Q57" i="1" s="1"/>
  <c r="Q59" i="1" s="1"/>
  <c r="Q291" i="1"/>
  <c r="T232" i="1"/>
  <c r="Y124" i="1"/>
  <c r="Y140" i="1"/>
  <c r="K146" i="1"/>
  <c r="N313" i="1"/>
  <c r="N28" i="1"/>
  <c r="N32" i="1" s="1"/>
  <c r="M306" i="1"/>
  <c r="M56" i="1"/>
  <c r="M59" i="1" s="1"/>
  <c r="L50" i="1"/>
  <c r="L283" i="1"/>
  <c r="K232" i="1"/>
  <c r="P232" i="1"/>
  <c r="U316" i="1"/>
  <c r="U64" i="1" s="1"/>
  <c r="Y52" i="1"/>
  <c r="Y315" i="1"/>
  <c r="Y63" i="1" s="1"/>
  <c r="AA232" i="1"/>
  <c r="AA216" i="1"/>
  <c r="F95" i="1"/>
  <c r="F11" i="1" s="1"/>
  <c r="F7" i="1"/>
  <c r="F313" i="1"/>
  <c r="F61" i="1" s="1"/>
  <c r="F65" i="1" s="1"/>
  <c r="J316" i="1"/>
  <c r="J64" i="1" s="1"/>
  <c r="J20" i="1"/>
  <c r="J21" i="1" s="1"/>
  <c r="I77" i="1"/>
  <c r="I97" i="1"/>
  <c r="I8" i="1" s="1"/>
  <c r="G48" i="1"/>
  <c r="N316" i="1"/>
  <c r="N64" i="1" s="1"/>
  <c r="N10" i="1"/>
  <c r="K53" i="1"/>
  <c r="K283" i="1"/>
  <c r="S168" i="1"/>
  <c r="S187" i="1"/>
  <c r="U45" i="1"/>
  <c r="U48" i="1" s="1"/>
  <c r="U314" i="1"/>
  <c r="U62" i="1" s="1"/>
  <c r="Q58" i="1"/>
  <c r="J264" i="1"/>
  <c r="J245" i="1"/>
  <c r="J238" i="1" s="1"/>
  <c r="J259" i="1"/>
  <c r="J45" i="1" s="1"/>
  <c r="J48" i="1" s="1"/>
  <c r="G108" i="1"/>
  <c r="G120" i="1"/>
  <c r="G14" i="1" s="1"/>
  <c r="M48" i="1"/>
  <c r="P37" i="1"/>
  <c r="Q48" i="1"/>
  <c r="S42" i="1"/>
  <c r="T21" i="1"/>
  <c r="X316" i="1"/>
  <c r="X64" i="1" s="1"/>
  <c r="AA210" i="1"/>
  <c r="AA194" i="1"/>
  <c r="G210" i="1"/>
  <c r="H216" i="1"/>
  <c r="H232" i="1"/>
  <c r="M194" i="1"/>
  <c r="G118" i="1"/>
  <c r="G16" i="1" s="1"/>
  <c r="I258" i="1"/>
  <c r="I44" i="1" s="1"/>
  <c r="I245" i="1"/>
  <c r="H147" i="1"/>
  <c r="N315" i="1"/>
  <c r="N63" i="1" s="1"/>
  <c r="N52" i="1"/>
  <c r="N54" i="1" s="1"/>
  <c r="P210" i="1"/>
  <c r="V57" i="1"/>
  <c r="V59" i="1" s="1"/>
  <c r="V306" i="1"/>
  <c r="AA168" i="1"/>
  <c r="K194" i="1"/>
  <c r="L162" i="1"/>
  <c r="M124" i="1"/>
  <c r="J97" i="1"/>
  <c r="J8" i="1" s="1"/>
  <c r="G212" i="1"/>
  <c r="G35" i="1" s="1"/>
  <c r="H239" i="1"/>
  <c r="H257" i="1" s="1"/>
  <c r="G181" i="1"/>
  <c r="G187" i="1" s="1"/>
  <c r="L54" i="1"/>
  <c r="P48" i="1"/>
  <c r="Q146" i="1"/>
  <c r="Q316" i="1"/>
  <c r="Q64" i="1" s="1"/>
  <c r="R194" i="1"/>
  <c r="S48" i="1"/>
  <c r="V194" i="1"/>
  <c r="W162" i="1"/>
  <c r="W48" i="1"/>
  <c r="X124" i="1"/>
  <c r="X162" i="1"/>
  <c r="X37" i="1"/>
  <c r="X264" i="1"/>
  <c r="Y162" i="1"/>
  <c r="Y54" i="1"/>
  <c r="AC238" i="1"/>
  <c r="AA124" i="1"/>
  <c r="AA162" i="1"/>
  <c r="N48" i="1"/>
  <c r="N257" i="1"/>
  <c r="F32" i="1"/>
  <c r="H97" i="1"/>
  <c r="H8" i="1" s="1"/>
  <c r="K59" i="1"/>
  <c r="M26" i="1"/>
  <c r="K95" i="1"/>
  <c r="K11" i="1" s="1"/>
  <c r="S194" i="1"/>
  <c r="T48" i="1"/>
  <c r="U162" i="1"/>
  <c r="U54" i="1"/>
  <c r="V118" i="1"/>
  <c r="V16" i="1" s="1"/>
  <c r="W314" i="1"/>
  <c r="W62" i="1" s="1"/>
  <c r="W257" i="1"/>
  <c r="Z210" i="1"/>
  <c r="AA37" i="1"/>
  <c r="AA59" i="1"/>
  <c r="P26" i="1"/>
  <c r="F162" i="1"/>
  <c r="N118" i="1"/>
  <c r="N16" i="1" s="1"/>
  <c r="N168" i="1"/>
  <c r="H286" i="1"/>
  <c r="I189" i="1"/>
  <c r="I29" i="1" s="1"/>
  <c r="I113" i="1"/>
  <c r="G251" i="1"/>
  <c r="E62" i="1"/>
  <c r="M286" i="1"/>
  <c r="O26" i="1"/>
  <c r="Q187" i="1"/>
  <c r="S264" i="1"/>
  <c r="S26" i="1"/>
  <c r="U42" i="1"/>
  <c r="V32" i="1"/>
  <c r="V316" i="1"/>
  <c r="V64" i="1" s="1"/>
  <c r="W264" i="1"/>
  <c r="Z306" i="1"/>
  <c r="AA54" i="1"/>
  <c r="W313" i="1"/>
  <c r="W61" i="1" s="1"/>
  <c r="W65" i="1" s="1"/>
  <c r="S59" i="1"/>
  <c r="K162" i="1"/>
  <c r="K238" i="1"/>
  <c r="H142" i="1"/>
  <c r="H19" i="1" s="1"/>
  <c r="H21" i="1" s="1"/>
  <c r="E65" i="1"/>
  <c r="G59" i="1"/>
  <c r="I59" i="1"/>
  <c r="L168" i="1"/>
  <c r="R54" i="1"/>
  <c r="T32" i="1"/>
  <c r="AA32" i="1"/>
  <c r="L210" i="1"/>
  <c r="M168" i="1"/>
  <c r="M257" i="1"/>
  <c r="G189" i="1"/>
  <c r="G29" i="1" s="1"/>
  <c r="G32" i="1" s="1"/>
  <c r="I175" i="1"/>
  <c r="O140" i="1"/>
  <c r="H283" i="1"/>
  <c r="N26" i="1"/>
  <c r="K48" i="1"/>
  <c r="Q21" i="1"/>
  <c r="R42" i="1"/>
  <c r="S316" i="1"/>
  <c r="S64" i="1" s="1"/>
  <c r="U118" i="1"/>
  <c r="U16" i="1" s="1"/>
  <c r="U238" i="1"/>
  <c r="V232" i="1"/>
  <c r="X210" i="1"/>
  <c r="Y26" i="1"/>
  <c r="Y32" i="1"/>
  <c r="Y37" i="1"/>
  <c r="Z118" i="1"/>
  <c r="Z16" i="1" s="1"/>
  <c r="H187" i="1"/>
  <c r="I118" i="1"/>
  <c r="I16" i="1" s="1"/>
  <c r="M118" i="1"/>
  <c r="M16" i="1" s="1"/>
  <c r="I194" i="1"/>
  <c r="I164" i="1"/>
  <c r="I24" i="1" s="1"/>
  <c r="H157" i="1"/>
  <c r="H162" i="1" s="1"/>
  <c r="G211" i="1"/>
  <c r="G34" i="1" s="1"/>
  <c r="G37" i="1" s="1"/>
  <c r="G163" i="1"/>
  <c r="G23" i="1" s="1"/>
  <c r="Q210" i="1"/>
  <c r="Q26" i="1"/>
  <c r="R283" i="1"/>
  <c r="S124" i="1"/>
  <c r="T194" i="1"/>
  <c r="U32" i="1"/>
  <c r="V26" i="1"/>
  <c r="Y316" i="1"/>
  <c r="Y64" i="1" s="1"/>
  <c r="Y314" i="1"/>
  <c r="Y62" i="1" s="1"/>
  <c r="Y313" i="1"/>
  <c r="Z140" i="1"/>
  <c r="AA95" i="1"/>
  <c r="AA11" i="1" s="1"/>
  <c r="AA187" i="1"/>
  <c r="AC59" i="1"/>
  <c r="AC306" i="1"/>
  <c r="AC264" i="1"/>
  <c r="AC257" i="1"/>
  <c r="AC48" i="1"/>
  <c r="AC313" i="1"/>
  <c r="AC42" i="1"/>
  <c r="AC32" i="1"/>
  <c r="AC140" i="1"/>
  <c r="AC124" i="1"/>
  <c r="AC21" i="1"/>
  <c r="AC95" i="1"/>
  <c r="AC314" i="1"/>
  <c r="AC316" i="1"/>
  <c r="I264" i="1"/>
  <c r="W312" i="1"/>
  <c r="Y61" i="1"/>
  <c r="H194" i="1"/>
  <c r="H210" i="1"/>
  <c r="I239" i="1"/>
  <c r="I259" i="1"/>
  <c r="I45" i="1" s="1"/>
  <c r="I48" i="1" s="1"/>
  <c r="L10" i="1"/>
  <c r="L316" i="1"/>
  <c r="L95" i="1"/>
  <c r="L11" i="1" s="1"/>
  <c r="W315" i="1"/>
  <c r="W63" i="1" s="1"/>
  <c r="W52" i="1"/>
  <c r="W54" i="1" s="1"/>
  <c r="W316" i="1"/>
  <c r="W64" i="1" s="1"/>
  <c r="L187" i="1"/>
  <c r="J168" i="1"/>
  <c r="J187" i="1"/>
  <c r="G26" i="1"/>
  <c r="Q14" i="1"/>
  <c r="Q314" i="1"/>
  <c r="Q62" i="1" s="1"/>
  <c r="Q65" i="1" s="1"/>
  <c r="AA314" i="1"/>
  <c r="AA62" i="1" s="1"/>
  <c r="AA316" i="1"/>
  <c r="AA64" i="1" s="1"/>
  <c r="H37" i="1"/>
  <c r="X54" i="1"/>
  <c r="K54" i="1"/>
  <c r="H140" i="1"/>
  <c r="U232" i="1"/>
  <c r="U216" i="1"/>
  <c r="N317" i="1"/>
  <c r="L317" i="1"/>
  <c r="R313" i="1"/>
  <c r="F314" i="1"/>
  <c r="F62" i="1" s="1"/>
  <c r="S54" i="1"/>
  <c r="X140" i="1"/>
  <c r="F118" i="1"/>
  <c r="F16" i="1" s="1"/>
  <c r="F48" i="1"/>
  <c r="J26" i="1"/>
  <c r="F264" i="1"/>
  <c r="F283" i="1"/>
  <c r="R20" i="1"/>
  <c r="R21" i="1" s="1"/>
  <c r="R316" i="1"/>
  <c r="R64" i="1" s="1"/>
  <c r="AA140" i="1"/>
  <c r="AC315" i="1"/>
  <c r="S314" i="1"/>
  <c r="V95" i="1"/>
  <c r="V11" i="1" s="1"/>
  <c r="O316" i="1"/>
  <c r="K316" i="1"/>
  <c r="K64" i="1" s="1"/>
  <c r="V314" i="1"/>
  <c r="V62" i="1" s="1"/>
  <c r="J95" i="1"/>
  <c r="J11" i="1" s="1"/>
  <c r="X146" i="1"/>
  <c r="AC283" i="1"/>
  <c r="Z316" i="1"/>
  <c r="Z64" i="1" s="1"/>
  <c r="Z65" i="1" s="1"/>
  <c r="P313" i="1"/>
  <c r="J7" i="1"/>
  <c r="R95" i="1"/>
  <c r="R11" i="1" s="1"/>
  <c r="J83" i="1"/>
  <c r="I212" i="1"/>
  <c r="I35" i="1" s="1"/>
  <c r="G194" i="1"/>
  <c r="X283" i="1"/>
  <c r="F146" i="1"/>
  <c r="H315" i="1"/>
  <c r="H63" i="1" s="1"/>
  <c r="H52" i="1"/>
  <c r="H54" i="1" s="1"/>
  <c r="I140" i="1"/>
  <c r="I124" i="1"/>
  <c r="G83" i="1"/>
  <c r="P32" i="1"/>
  <c r="Q95" i="1"/>
  <c r="Q11" i="1" s="1"/>
  <c r="Q7" i="1"/>
  <c r="R257" i="1"/>
  <c r="R238" i="1"/>
  <c r="I216" i="1"/>
  <c r="I232" i="1"/>
  <c r="U21" i="1"/>
  <c r="U25" i="1"/>
  <c r="U264" i="1"/>
  <c r="U283" i="1"/>
  <c r="W95" i="1"/>
  <c r="W11" i="1" s="1"/>
  <c r="W7" i="1"/>
  <c r="W216" i="1"/>
  <c r="W232" i="1"/>
  <c r="X187" i="1"/>
  <c r="Y306" i="1"/>
  <c r="Y56" i="1"/>
  <c r="Y59" i="1" s="1"/>
  <c r="W56" i="1"/>
  <c r="W59" i="1" s="1"/>
  <c r="W306" i="1"/>
  <c r="F210" i="1"/>
  <c r="F194" i="1"/>
  <c r="I96" i="1"/>
  <c r="I83" i="1"/>
  <c r="J54" i="1"/>
  <c r="R56" i="1"/>
  <c r="R59" i="1" s="1"/>
  <c r="R306" i="1"/>
  <c r="G216" i="1"/>
  <c r="T216" i="1"/>
  <c r="U187" i="1"/>
  <c r="U168" i="1"/>
  <c r="Q162" i="1"/>
  <c r="E26" i="1"/>
  <c r="F26" i="1"/>
  <c r="M37" i="1"/>
  <c r="AA313" i="1"/>
  <c r="U95" i="1"/>
  <c r="U11" i="1" s="1"/>
  <c r="M315" i="1"/>
  <c r="M63" i="1" s="1"/>
  <c r="M283" i="1"/>
  <c r="M52" i="1"/>
  <c r="M54" i="1" s="1"/>
  <c r="AC194" i="1"/>
  <c r="AC210" i="1"/>
  <c r="T316" i="1"/>
  <c r="T64" i="1" s="1"/>
  <c r="T10" i="1"/>
  <c r="V238" i="1"/>
  <c r="V257" i="1"/>
  <c r="W124" i="1"/>
  <c r="W140" i="1"/>
  <c r="N95" i="1"/>
  <c r="N11" i="1" s="1"/>
  <c r="O168" i="1"/>
  <c r="G168" i="1"/>
  <c r="V52" i="1"/>
  <c r="V54" i="1" s="1"/>
  <c r="H258" i="1"/>
  <c r="H44" i="1" s="1"/>
  <c r="H48" i="1" s="1"/>
  <c r="I286" i="1"/>
  <c r="J257" i="1"/>
  <c r="I210" i="1"/>
  <c r="J188" i="1"/>
  <c r="J28" i="1" s="1"/>
  <c r="J32" i="1" s="1"/>
  <c r="I163" i="1"/>
  <c r="I23" i="1" s="1"/>
  <c r="I26" i="1" s="1"/>
  <c r="I147" i="1"/>
  <c r="T52" i="1"/>
  <c r="T54" i="1" s="1"/>
  <c r="T315" i="1"/>
  <c r="T63" i="1" s="1"/>
  <c r="U301" i="1"/>
  <c r="U307" i="1"/>
  <c r="X59" i="1"/>
  <c r="Q232" i="1"/>
  <c r="Q216" i="1"/>
  <c r="V34" i="1"/>
  <c r="V37" i="1" s="1"/>
  <c r="V313" i="1"/>
  <c r="W168" i="1"/>
  <c r="W187" i="1"/>
  <c r="I169" i="1"/>
  <c r="O194" i="1"/>
  <c r="O210" i="1"/>
  <c r="O283" i="1"/>
  <c r="P8" i="1"/>
  <c r="P95" i="1"/>
  <c r="P11" i="1" s="1"/>
  <c r="P314" i="1"/>
  <c r="P62" i="1" s="1"/>
  <c r="O232" i="1"/>
  <c r="O216" i="1"/>
  <c r="S232" i="1"/>
  <c r="S216" i="1"/>
  <c r="T168" i="1"/>
  <c r="T187" i="1"/>
  <c r="I157" i="1"/>
  <c r="H96" i="1"/>
  <c r="Z37" i="1"/>
  <c r="X314" i="1"/>
  <c r="G162" i="1"/>
  <c r="J103" i="1"/>
  <c r="J118" i="1" s="1"/>
  <c r="J16" i="1" s="1"/>
  <c r="J120" i="1"/>
  <c r="L238" i="1"/>
  <c r="G125" i="1"/>
  <c r="G142" i="1"/>
  <c r="G19" i="1" s="1"/>
  <c r="G21" i="1" s="1"/>
  <c r="G97" i="1"/>
  <c r="G95" i="1" s="1"/>
  <c r="G11" i="1" s="1"/>
  <c r="O146" i="1"/>
  <c r="O162" i="1"/>
  <c r="O257" i="1"/>
  <c r="K210" i="1"/>
  <c r="R162" i="1"/>
  <c r="K315" i="1"/>
  <c r="K63" i="1" s="1"/>
  <c r="I188" i="1"/>
  <c r="I28" i="1" s="1"/>
  <c r="I32" i="1" s="1"/>
  <c r="P216" i="1"/>
  <c r="X306" i="1"/>
  <c r="K140" i="1"/>
  <c r="K124" i="1"/>
  <c r="K187" i="1"/>
  <c r="K168" i="1"/>
  <c r="M187" i="1"/>
  <c r="N124" i="1"/>
  <c r="N140" i="1"/>
  <c r="N210" i="1"/>
  <c r="N194" i="1"/>
  <c r="H120" i="1"/>
  <c r="H103" i="1"/>
  <c r="H118" i="1" s="1"/>
  <c r="H16" i="1" s="1"/>
  <c r="I37" i="1"/>
  <c r="M314" i="1"/>
  <c r="M8" i="1"/>
  <c r="K19" i="1"/>
  <c r="K21" i="1" s="1"/>
  <c r="K314" i="1"/>
  <c r="K37" i="1"/>
  <c r="O59" i="1"/>
  <c r="P118" i="1"/>
  <c r="P16" i="1" s="1"/>
  <c r="P238" i="1"/>
  <c r="P257" i="1"/>
  <c r="Q140" i="1"/>
  <c r="Q124" i="1"/>
  <c r="F232" i="1"/>
  <c r="T301" i="1"/>
  <c r="T307" i="1"/>
  <c r="T313" i="1" s="1"/>
  <c r="U26" i="1"/>
  <c r="Y232" i="1"/>
  <c r="G271" i="1"/>
  <c r="G286" i="1"/>
  <c r="X194" i="1"/>
  <c r="Y95" i="1"/>
  <c r="Y11" i="1" s="1"/>
  <c r="Y7" i="1"/>
  <c r="Y257" i="1"/>
  <c r="Y283" i="1"/>
  <c r="Y264" i="1"/>
  <c r="AA306" i="1"/>
  <c r="F238" i="1"/>
  <c r="H77" i="1"/>
  <c r="O124" i="1"/>
  <c r="K32" i="1"/>
  <c r="P124" i="1"/>
  <c r="P140" i="1"/>
  <c r="M232" i="1"/>
  <c r="M216" i="1"/>
  <c r="V210" i="1"/>
  <c r="X238" i="1"/>
  <c r="X257" i="1"/>
  <c r="L124" i="1"/>
  <c r="J140" i="1"/>
  <c r="H163" i="1"/>
  <c r="H23" i="1" s="1"/>
  <c r="H26" i="1" s="1"/>
  <c r="W210" i="1"/>
  <c r="Y146" i="1"/>
  <c r="AA21" i="1"/>
  <c r="Y210" i="1"/>
  <c r="Y238" i="1"/>
  <c r="Z59" i="1"/>
  <c r="AA283" i="1"/>
  <c r="S7" i="1"/>
  <c r="S95" i="1"/>
  <c r="S11" i="1" s="1"/>
  <c r="Y216" i="1"/>
  <c r="G239" i="1"/>
  <c r="Q264" i="1"/>
  <c r="AB312" i="1"/>
  <c r="AB61" i="1"/>
  <c r="AB65" i="1" s="1"/>
  <c r="AB317" i="1"/>
  <c r="AB306" i="1"/>
  <c r="AB56" i="1"/>
  <c r="AB59" i="1" s="1"/>
  <c r="F312" i="1" l="1"/>
  <c r="N312" i="1"/>
  <c r="N61" i="1"/>
  <c r="N65" i="1" s="1"/>
  <c r="J313" i="1"/>
  <c r="Y312" i="1"/>
  <c r="Q306" i="1"/>
  <c r="Q312" i="1"/>
  <c r="P316" i="1"/>
  <c r="P64" i="1" s="1"/>
  <c r="Y317" i="1"/>
  <c r="P306" i="1"/>
  <c r="G313" i="1"/>
  <c r="G61" i="1" s="1"/>
  <c r="H146" i="1"/>
  <c r="Z317" i="1"/>
  <c r="Y65" i="1"/>
  <c r="I314" i="1"/>
  <c r="I62" i="1" s="1"/>
  <c r="H238" i="1"/>
  <c r="W317" i="1"/>
  <c r="K62" i="1"/>
  <c r="K65" i="1" s="1"/>
  <c r="K312" i="1"/>
  <c r="U306" i="1"/>
  <c r="U56" i="1"/>
  <c r="U59" i="1" s="1"/>
  <c r="AC317" i="1"/>
  <c r="M312" i="1"/>
  <c r="M62" i="1"/>
  <c r="M65" i="1" s="1"/>
  <c r="M317" i="1"/>
  <c r="V61" i="1"/>
  <c r="V65" i="1" s="1"/>
  <c r="V317" i="1"/>
  <c r="V312" i="1"/>
  <c r="I257" i="1"/>
  <c r="I238" i="1"/>
  <c r="Q317" i="1"/>
  <c r="X62" i="1"/>
  <c r="X65" i="1" s="1"/>
  <c r="X317" i="1"/>
  <c r="T61" i="1"/>
  <c r="T65" i="1" s="1"/>
  <c r="T317" i="1"/>
  <c r="T312" i="1"/>
  <c r="G238" i="1"/>
  <c r="G257" i="1"/>
  <c r="G283" i="1"/>
  <c r="G264" i="1"/>
  <c r="H313" i="1"/>
  <c r="H95" i="1"/>
  <c r="H11" i="1" s="1"/>
  <c r="H7" i="1"/>
  <c r="I315" i="1"/>
  <c r="I63" i="1" s="1"/>
  <c r="I52" i="1"/>
  <c r="I54" i="1" s="1"/>
  <c r="J14" i="1"/>
  <c r="J314" i="1"/>
  <c r="J62" i="1" s="1"/>
  <c r="I146" i="1"/>
  <c r="I162" i="1"/>
  <c r="I95" i="1"/>
  <c r="I11" i="1" s="1"/>
  <c r="I313" i="1"/>
  <c r="I7" i="1"/>
  <c r="P61" i="1"/>
  <c r="O64" i="1"/>
  <c r="O65" i="1" s="1"/>
  <c r="O317" i="1"/>
  <c r="O312" i="1"/>
  <c r="U313" i="1"/>
  <c r="AC312" i="1"/>
  <c r="G314" i="1"/>
  <c r="G8" i="1"/>
  <c r="I187" i="1"/>
  <c r="I168" i="1"/>
  <c r="L312" i="1"/>
  <c r="L64" i="1"/>
  <c r="L65" i="1" s="1"/>
  <c r="AC65" i="1"/>
  <c r="G124" i="1"/>
  <c r="G140" i="1"/>
  <c r="H14" i="1"/>
  <c r="H314" i="1"/>
  <c r="H62" i="1" s="1"/>
  <c r="R61" i="1"/>
  <c r="R65" i="1" s="1"/>
  <c r="R317" i="1"/>
  <c r="R312" i="1"/>
  <c r="Z312" i="1"/>
  <c r="K317" i="1"/>
  <c r="X312" i="1"/>
  <c r="AA317" i="1"/>
  <c r="AA312" i="1"/>
  <c r="AA61" i="1"/>
  <c r="AA65" i="1" s="1"/>
  <c r="J61" i="1"/>
  <c r="G52" i="1"/>
  <c r="G54" i="1" s="1"/>
  <c r="G315" i="1"/>
  <c r="G63" i="1" s="1"/>
  <c r="T306" i="1"/>
  <c r="T56" i="1"/>
  <c r="T59" i="1" s="1"/>
  <c r="S312" i="1"/>
  <c r="S62" i="1"/>
  <c r="S65" i="1" s="1"/>
  <c r="S317" i="1"/>
  <c r="F317" i="1"/>
  <c r="P65" i="1" l="1"/>
  <c r="P312" i="1"/>
  <c r="P317" i="1"/>
  <c r="U317" i="1"/>
  <c r="U61" i="1"/>
  <c r="U65" i="1" s="1"/>
  <c r="U312" i="1"/>
  <c r="G62" i="1"/>
  <c r="G65" i="1" s="1"/>
  <c r="G312" i="1"/>
  <c r="G317" i="1"/>
  <c r="J312" i="1"/>
  <c r="I312" i="1"/>
  <c r="I317" i="1"/>
  <c r="I61" i="1"/>
  <c r="I65" i="1" s="1"/>
  <c r="J317" i="1"/>
  <c r="J65" i="1"/>
  <c r="H61" i="1"/>
  <c r="H65" i="1" s="1"/>
  <c r="H312" i="1"/>
  <c r="H317" i="1"/>
</calcChain>
</file>

<file path=xl/sharedStrings.xml><?xml version="1.0" encoding="utf-8"?>
<sst xmlns="http://schemas.openxmlformats.org/spreadsheetml/2006/main" count="828" uniqueCount="123">
  <si>
    <t xml:space="preserve"> </t>
  </si>
  <si>
    <t xml:space="preserve"> Fiscal Year</t>
  </si>
  <si>
    <t xml:space="preserve">   Lower Undergraduate</t>
  </si>
  <si>
    <t xml:space="preserve">   Upper Undergraduate</t>
  </si>
  <si>
    <t xml:space="preserve">      Total</t>
  </si>
  <si>
    <t>Business</t>
  </si>
  <si>
    <t>Design</t>
  </si>
  <si>
    <t>Education</t>
  </si>
  <si>
    <t>Engineering</t>
  </si>
  <si>
    <t>Family and Consumer Sciences</t>
  </si>
  <si>
    <t>Liberal Arts and Sciences</t>
  </si>
  <si>
    <t>Veterinary Medicine</t>
  </si>
  <si>
    <t xml:space="preserve">   Professional</t>
  </si>
  <si>
    <t>Office of Institutional Research</t>
  </si>
  <si>
    <t>COLLEGE*</t>
  </si>
  <si>
    <t>93-94</t>
  </si>
  <si>
    <t>94-95</t>
  </si>
  <si>
    <t>95-96</t>
  </si>
  <si>
    <t>96-97</t>
  </si>
  <si>
    <t>Summer</t>
  </si>
  <si>
    <t>Fall</t>
  </si>
  <si>
    <t>Spring</t>
  </si>
  <si>
    <t>Total</t>
  </si>
  <si>
    <t>97-98</t>
  </si>
  <si>
    <t xml:space="preserve">   Graduate</t>
  </si>
  <si>
    <t>98-99</t>
  </si>
  <si>
    <t>99-00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</si>
  <si>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</si>
  <si>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</si>
  <si>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</si>
  <si>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</si>
  <si>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</si>
  <si>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</si>
  <si>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</si>
  <si>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</si>
  <si>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</si>
  <si>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Lower Undergraduate</t>
  </si>
  <si>
    <t>Upper Undergraduate</t>
  </si>
  <si>
    <t>Graduate</t>
  </si>
  <si>
    <t>Professional</t>
  </si>
  <si>
    <t>00-01</t>
  </si>
  <si>
    <t>2000-2001</t>
  </si>
  <si>
    <t>2001-2002</t>
  </si>
  <si>
    <t>University FY Total</t>
  </si>
  <si>
    <t>University Total</t>
  </si>
  <si>
    <t>2002-2003</t>
  </si>
  <si>
    <t>01-02</t>
  </si>
  <si>
    <t>02-03</t>
  </si>
  <si>
    <t>03-04</t>
  </si>
  <si>
    <t>2003-2004</t>
  </si>
  <si>
    <t>Other (use library &amp; interdisc totals)</t>
  </si>
  <si>
    <t>2004-2005</t>
  </si>
  <si>
    <t>04-05</t>
  </si>
  <si>
    <t>2005-2006</t>
  </si>
  <si>
    <t>2006-2007</t>
  </si>
  <si>
    <t>05-06</t>
  </si>
  <si>
    <t>Human Sciences</t>
  </si>
  <si>
    <t>06-07</t>
  </si>
  <si>
    <t>Agriculture and Life Sciences</t>
  </si>
  <si>
    <t>2007-2008</t>
  </si>
  <si>
    <t>07-08</t>
  </si>
  <si>
    <t>2008-2009</t>
  </si>
  <si>
    <t>'08-09</t>
  </si>
  <si>
    <t>08-09</t>
  </si>
  <si>
    <t>2009-2010</t>
  </si>
  <si>
    <t>09-10</t>
  </si>
  <si>
    <t>2010-2011</t>
  </si>
  <si>
    <t>10-11</t>
  </si>
  <si>
    <t>2011-2012</t>
  </si>
  <si>
    <t>11-12</t>
  </si>
  <si>
    <t>2012-2013</t>
  </si>
  <si>
    <t>12-13</t>
  </si>
  <si>
    <r>
      <t>1</t>
    </r>
    <r>
      <rPr>
        <sz val="9"/>
        <rFont val="Univers 55"/>
        <family val="2"/>
      </rPr>
      <t xml:space="preserve"> Student credit hours are calculated by multiplying the course credit by the number of students enrolled in the course.</t>
    </r>
  </si>
  <si>
    <t>2013-2014</t>
  </si>
  <si>
    <t>13-14</t>
  </si>
  <si>
    <t>Summer total</t>
  </si>
  <si>
    <t>Fall Total</t>
  </si>
  <si>
    <t>Spring Total</t>
  </si>
  <si>
    <t>FY Total</t>
  </si>
  <si>
    <t>14-15</t>
  </si>
  <si>
    <r>
      <t xml:space="preserve">4 </t>
    </r>
    <r>
      <rPr>
        <sz val="9"/>
        <rFont val="Univers 55"/>
        <family val="2"/>
      </rPr>
      <t>Includes Library and interdepartmental courses taught by faculty not funded in the colleges.</t>
    </r>
  </si>
  <si>
    <r>
      <t>2014-2015</t>
    </r>
    <r>
      <rPr>
        <vertAlign val="superscript"/>
        <sz val="9"/>
        <rFont val="Univers 55"/>
      </rPr>
      <t>3</t>
    </r>
  </si>
  <si>
    <r>
      <t>COLLEGE</t>
    </r>
    <r>
      <rPr>
        <vertAlign val="superscript"/>
        <sz val="9"/>
        <rFont val="Univers 55"/>
      </rPr>
      <t>2</t>
    </r>
  </si>
  <si>
    <r>
      <t>Other</t>
    </r>
    <r>
      <rPr>
        <vertAlign val="superscript"/>
        <sz val="9"/>
        <rFont val="Univers 55"/>
      </rPr>
      <t>4</t>
    </r>
  </si>
  <si>
    <r>
      <t xml:space="preserve">3 </t>
    </r>
    <r>
      <rPr>
        <sz val="9"/>
        <rFont val="Univers 55"/>
        <family val="2"/>
      </rPr>
      <t xml:space="preserve">Beginning FY2014-2015, all SCH are sourced from the e-Data warehouse and assigned to departments and </t>
    </r>
  </si>
  <si>
    <t>colleges using course splits designated by teaching departments.</t>
  </si>
  <si>
    <r>
      <t>2015-2016</t>
    </r>
    <r>
      <rPr>
        <vertAlign val="superscript"/>
        <sz val="9"/>
        <rFont val="Univers 55"/>
      </rPr>
      <t>3</t>
    </r>
  </si>
  <si>
    <t>15-16</t>
  </si>
  <si>
    <t xml:space="preserve"> Fiscal Year, continued</t>
  </si>
  <si>
    <t xml:space="preserve">Undergraduate </t>
  </si>
  <si>
    <t>CALS</t>
  </si>
  <si>
    <t>BUS</t>
  </si>
  <si>
    <t>DSN</t>
  </si>
  <si>
    <t>ENGR</t>
  </si>
  <si>
    <t>HS</t>
  </si>
  <si>
    <t>LAS</t>
  </si>
  <si>
    <t>VM</t>
  </si>
  <si>
    <t>OTHER</t>
  </si>
  <si>
    <t>UT</t>
  </si>
  <si>
    <t>Level</t>
  </si>
  <si>
    <t>COLLEGE</t>
  </si>
  <si>
    <t>FY2007</t>
  </si>
  <si>
    <t>FY2008</t>
  </si>
  <si>
    <t>FY2009</t>
  </si>
  <si>
    <t>FY2010</t>
  </si>
  <si>
    <t>FY2011</t>
  </si>
  <si>
    <t>FY2012</t>
  </si>
  <si>
    <t>FY2013</t>
  </si>
  <si>
    <t>FY2014</t>
  </si>
  <si>
    <t>FY2015</t>
  </si>
  <si>
    <t>FY2016</t>
  </si>
  <si>
    <t xml:space="preserve">     </t>
  </si>
  <si>
    <t>Total SCH</t>
  </si>
  <si>
    <t>LUG</t>
  </si>
  <si>
    <t>UUG</t>
  </si>
  <si>
    <r>
      <t>2016-2017</t>
    </r>
    <r>
      <rPr>
        <vertAlign val="superscript"/>
        <sz val="9"/>
        <rFont val="Univers 55"/>
      </rPr>
      <t>3</t>
    </r>
  </si>
  <si>
    <t>16-17</t>
  </si>
  <si>
    <t>FY2017</t>
  </si>
  <si>
    <t>Year???</t>
  </si>
  <si>
    <t>Purpose???</t>
  </si>
  <si>
    <t>Last Updated: 11/21/2017</t>
  </si>
  <si>
    <r>
      <t xml:space="preserve">2 </t>
    </r>
    <r>
      <rPr>
        <sz val="9"/>
        <rFont val="Univers 55"/>
        <family val="2"/>
      </rPr>
      <t>Colleges are organized for all years by the college structure existing on June 30, 2016.</t>
    </r>
  </si>
  <si>
    <r>
      <t>Student Credit Hours (SCH) by College and Course Level</t>
    </r>
    <r>
      <rPr>
        <vertAlign val="superscript"/>
        <sz val="12"/>
        <rFont val="Univers LT Std 55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</si>
</sst>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??,??0"/>
    <numFmt numFmtId="165" formatCode="?,???,??0"/>
  </numFmts>
  <fonts count="45">
    <font>
      <sz val="10"/>
      <name val="Univers 55"/>
    </font>
    <font>
      <sz val="10"/>
      <name val="Geneva"/>
    </font>
    <font>
      <sz val="10"/>
      <name val="Berkeley Italic"/>
    </font>
    <font>
      <sz val="7"/>
      <name val="Univers 75 Black"/>
    </font>
    <font>
      <sz val="10"/>
      <name val="Univers 55"/>
      <family val="2"/>
    </font>
    <font>
      <b/>
      <sz val="10"/>
      <name val="Univers 55"/>
      <family val="2"/>
    </font>
    <font>
      <vertAlign val="superscript"/>
      <sz val="9"/>
      <name val="Univers 55"/>
      <family val="2"/>
    </font>
    <font>
      <i/>
      <sz val="10"/>
      <name val="Berkeley"/>
      <family val="1"/>
    </font>
    <font>
      <b/>
      <sz val="10"/>
      <name val="Univers 45 Light"/>
      <family val="2"/>
    </font>
    <font>
      <sz val="10"/>
      <name val="Univers 45 Light"/>
      <family val="2"/>
    </font>
    <font>
      <i/>
      <sz val="9"/>
      <name val="Berkeley"/>
      <family val="1"/>
    </font>
    <font>
      <sz val="9"/>
      <name val="Univers 55"/>
      <family val="2"/>
    </font>
    <font>
      <b/>
      <sz val="9"/>
      <name val="Univers 45 Light"/>
      <family val="2"/>
    </font>
    <font>
      <sz val="9"/>
      <name val="Univers 45 Light"/>
      <family val="2"/>
    </font>
    <font>
      <sz val="9"/>
      <name val="Tms Rmn"/>
    </font>
    <font>
      <b/>
      <sz val="9"/>
      <name val="Tms Rmn"/>
    </font>
    <font>
      <b/>
      <sz val="9"/>
      <color indexed="10"/>
      <name val="Univers 55"/>
      <family val="2"/>
    </font>
    <font>
      <b/>
      <sz val="9"/>
      <name val="Univers 55"/>
      <family val="2"/>
    </font>
    <font>
      <b/>
      <sz val="9"/>
      <color indexed="10"/>
      <name val="Univers 45 Light"/>
      <family val="2"/>
    </font>
    <font>
      <b/>
      <sz val="9"/>
      <color indexed="9"/>
      <name val="Univers 45 Light"/>
      <family val="2"/>
    </font>
    <font>
      <sz val="9"/>
      <color indexed="9"/>
      <name val="Tms Rmn"/>
    </font>
    <font>
      <b/>
      <sz val="9"/>
      <color indexed="12"/>
      <name val="Univers 45 Light"/>
      <family val="2"/>
    </font>
    <font>
      <sz val="9"/>
      <color indexed="9"/>
      <name val="Univers 55"/>
      <family val="2"/>
    </font>
    <font>
      <sz val="9"/>
      <name val="Univers 65 Bold"/>
    </font>
    <font>
      <b/>
      <sz val="9"/>
      <name val="Univers 65 Bold"/>
    </font>
    <font>
      <sz val="9"/>
      <name val="Univers 55"/>
    </font>
    <font>
      <sz val="9"/>
      <name val="Univers LT Std 45 Light"/>
      <family val="2"/>
    </font>
    <font>
      <sz val="9"/>
      <name val="Univers 45 Light"/>
    </font>
    <font>
      <vertAlign val="superscript"/>
      <sz val="9"/>
      <name val="Univers 55"/>
    </font>
    <font>
      <b/>
      <sz val="9"/>
      <name val="Univers 55"/>
    </font>
    <font>
      <b/>
      <sz val="9"/>
      <name val="Univers LT Std 45 Light"/>
      <family val="2"/>
    </font>
    <font>
      <sz val="8"/>
      <name val="Univers 55"/>
    </font>
    <font>
      <b/>
      <sz val="8"/>
      <name val="Univers 55"/>
      <family val="2"/>
    </font>
    <font>
      <b/>
      <sz val="8"/>
      <name val="Univers 55"/>
    </font>
    <font>
      <sz val="8"/>
      <name val="Univers 55"/>
      <family val="2"/>
    </font>
    <font>
      <b/>
      <sz val="8"/>
      <name val="Univers LT Std 45 Light"/>
      <family val="2"/>
    </font>
    <font>
      <b/>
      <sz val="8"/>
      <name val="Univers 45 Light"/>
      <family val="2"/>
    </font>
    <font>
      <b/>
      <sz val="10"/>
      <name val="Univers 55"/>
    </font>
    <font>
      <b/>
      <sz val="9"/>
      <color theme="1"/>
      <name val="Univers 45 Light"/>
      <family val="2"/>
    </font>
    <font>
      <b/>
      <sz val="9"/>
      <color rgb="FFFF0000"/>
      <name val="Univers 55"/>
      <family val="2"/>
    </font>
    <font>
      <sz val="10"/>
      <name val="Univers 55"/>
    </font>
    <font>
      <strike/>
      <sz val="8"/>
      <name val="Univers 55"/>
    </font>
    <font>
      <b/>
      <sz val="14"/>
      <name val="Univers LT Std 55"/>
      <family val="2"/>
    </font>
    <font>
      <vertAlign val="superscript"/>
      <sz val="12"/>
      <name val="Univers LT Std 55"/>
      <family val="2"/>
    </font>
    <font>
      <sz val="14"/>
      <name val="Univers LT Std 55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0" fontId="4" fillId="0" borderId="0"/>
    <xf numFmtId="9" fontId="40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3" fontId="11" fillId="0" borderId="0" xfId="0" applyNumberFormat="1" applyFont="1"/>
    <xf numFmtId="3" fontId="12" fillId="0" borderId="0" xfId="0" applyNumberFormat="1" applyFont="1" applyBorder="1"/>
    <xf numFmtId="3" fontId="12" fillId="0" borderId="0" xfId="0" applyNumberFormat="1" applyFont="1"/>
    <xf numFmtId="3" fontId="13" fillId="0" borderId="0" xfId="0" applyNumberFormat="1" applyFont="1"/>
    <xf numFmtId="3" fontId="14" fillId="0" borderId="0" xfId="0" applyNumberFormat="1" applyFont="1"/>
    <xf numFmtId="3" fontId="11" fillId="0" borderId="0" xfId="0" applyNumberFormat="1" applyFont="1" applyBorder="1"/>
    <xf numFmtId="3" fontId="15" fillId="0" borderId="0" xfId="0" applyNumberFormat="1" applyFont="1"/>
    <xf numFmtId="3" fontId="13" fillId="0" borderId="0" xfId="0" applyNumberFormat="1" applyFont="1" applyBorder="1"/>
    <xf numFmtId="3" fontId="16" fillId="0" borderId="0" xfId="0" applyNumberFormat="1" applyFont="1"/>
    <xf numFmtId="3" fontId="17" fillId="0" borderId="0" xfId="0" applyNumberFormat="1" applyFont="1"/>
    <xf numFmtId="3" fontId="8" fillId="0" borderId="0" xfId="0" applyNumberFormat="1" applyFont="1"/>
    <xf numFmtId="3" fontId="14" fillId="0" borderId="1" xfId="0" applyNumberFormat="1" applyFont="1" applyBorder="1"/>
    <xf numFmtId="3" fontId="14" fillId="0" borderId="2" xfId="0" applyNumberFormat="1" applyFont="1" applyBorder="1"/>
    <xf numFmtId="3" fontId="14" fillId="0" borderId="0" xfId="0" applyNumberFormat="1" applyFont="1" applyBorder="1"/>
    <xf numFmtId="3" fontId="15" fillId="0" borderId="0" xfId="0" applyNumberFormat="1" applyFont="1" applyBorder="1"/>
    <xf numFmtId="3" fontId="18" fillId="0" borderId="0" xfId="0" applyNumberFormat="1" applyFont="1"/>
    <xf numFmtId="3" fontId="18" fillId="0" borderId="0" xfId="0" applyNumberFormat="1" applyFont="1" applyBorder="1"/>
    <xf numFmtId="0" fontId="9" fillId="0" borderId="0" xfId="0" applyFont="1" applyBorder="1"/>
    <xf numFmtId="3" fontId="5" fillId="0" borderId="0" xfId="0" applyNumberFormat="1" applyFont="1"/>
    <xf numFmtId="3" fontId="0" fillId="0" borderId="0" xfId="0" applyNumberFormat="1"/>
    <xf numFmtId="38" fontId="0" fillId="0" borderId="0" xfId="0" applyNumberFormat="1"/>
    <xf numFmtId="0" fontId="0" fillId="0" borderId="0" xfId="0" applyAlignment="1"/>
    <xf numFmtId="0" fontId="11" fillId="0" borderId="0" xfId="0" applyFont="1" applyBorder="1"/>
    <xf numFmtId="38" fontId="11" fillId="0" borderId="0" xfId="1" applyNumberFormat="1" applyFont="1"/>
    <xf numFmtId="38" fontId="11" fillId="0" borderId="3" xfId="1" applyNumberFormat="1" applyFont="1" applyBorder="1"/>
    <xf numFmtId="0" fontId="11" fillId="0" borderId="0" xfId="0" applyFont="1" applyFill="1" applyBorder="1"/>
    <xf numFmtId="0" fontId="11" fillId="0" borderId="0" xfId="0" applyFont="1"/>
    <xf numFmtId="3" fontId="19" fillId="0" borderId="0" xfId="0" applyNumberFormat="1" applyFont="1"/>
    <xf numFmtId="3" fontId="19" fillId="0" borderId="0" xfId="0" applyNumberFormat="1" applyFont="1" applyBorder="1"/>
    <xf numFmtId="3" fontId="20" fillId="0" borderId="0" xfId="0" applyNumberFormat="1" applyFont="1" applyBorder="1"/>
    <xf numFmtId="3" fontId="21" fillId="0" borderId="4" xfId="0" applyNumberFormat="1" applyFont="1" applyBorder="1"/>
    <xf numFmtId="3" fontId="21" fillId="0" borderId="4" xfId="0" applyNumberFormat="1" applyFont="1" applyBorder="1" applyAlignment="1">
      <alignment horizontal="right"/>
    </xf>
    <xf numFmtId="3" fontId="21" fillId="0" borderId="4" xfId="0" quotePrefix="1" applyNumberFormat="1" applyFont="1" applyBorder="1" applyAlignment="1">
      <alignment horizontal="right"/>
    </xf>
    <xf numFmtId="38" fontId="11" fillId="0" borderId="1" xfId="1" applyNumberFormat="1" applyFont="1" applyBorder="1"/>
    <xf numFmtId="38" fontId="11" fillId="0" borderId="2" xfId="1" applyNumberFormat="1" applyFont="1" applyBorder="1"/>
    <xf numFmtId="38" fontId="11" fillId="0" borderId="0" xfId="1" applyNumberFormat="1" applyFont="1" applyBorder="1"/>
    <xf numFmtId="0" fontId="6" fillId="0" borderId="0" xfId="0" applyFont="1" applyAlignment="1">
      <alignment vertical="top"/>
    </xf>
    <xf numFmtId="3" fontId="15" fillId="0" borderId="5" xfId="0" applyNumberFormat="1" applyFont="1" applyBorder="1"/>
    <xf numFmtId="0" fontId="17" fillId="0" borderId="3" xfId="0" applyFont="1" applyBorder="1"/>
    <xf numFmtId="0" fontId="17" fillId="0" borderId="3" xfId="0" applyFont="1" applyBorder="1" applyAlignment="1">
      <alignment horizontal="right"/>
    </xf>
    <xf numFmtId="0" fontId="12" fillId="0" borderId="0" xfId="0" applyFont="1" applyAlignment="1">
      <alignment vertical="center"/>
    </xf>
    <xf numFmtId="3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/>
    <xf numFmtId="37" fontId="11" fillId="0" borderId="0" xfId="0" applyNumberFormat="1" applyFont="1"/>
    <xf numFmtId="0" fontId="12" fillId="0" borderId="0" xfId="0" applyFont="1"/>
    <xf numFmtId="37" fontId="22" fillId="0" borderId="0" xfId="0" applyNumberFormat="1" applyFont="1"/>
    <xf numFmtId="0" fontId="11" fillId="0" borderId="0" xfId="0" applyFont="1" applyBorder="1" applyAlignment="1">
      <alignment vertical="center"/>
    </xf>
    <xf numFmtId="37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37" fontId="12" fillId="0" borderId="0" xfId="0" applyNumberFormat="1" applyFont="1"/>
    <xf numFmtId="0" fontId="6" fillId="0" borderId="0" xfId="0" applyFont="1" applyAlignment="1"/>
    <xf numFmtId="37" fontId="23" fillId="0" borderId="0" xfId="0" applyNumberFormat="1" applyFont="1" applyAlignment="1">
      <alignment vertical="top"/>
    </xf>
    <xf numFmtId="0" fontId="24" fillId="0" borderId="0" xfId="0" applyFont="1" applyAlignment="1">
      <alignment vertical="top"/>
    </xf>
    <xf numFmtId="37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7" fillId="0" borderId="0" xfId="0" applyFont="1" applyAlignment="1">
      <alignment vertical="top"/>
    </xf>
    <xf numFmtId="3" fontId="7" fillId="0" borderId="0" xfId="0" applyNumberFormat="1" applyFont="1" applyAlignment="1"/>
    <xf numFmtId="0" fontId="17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37" fontId="11" fillId="0" borderId="3" xfId="0" applyNumberFormat="1" applyFont="1" applyBorder="1" applyAlignment="1">
      <alignment vertical="center"/>
    </xf>
    <xf numFmtId="0" fontId="12" fillId="0" borderId="0" xfId="0" applyFont="1" applyAlignment="1"/>
    <xf numFmtId="37" fontId="11" fillId="0" borderId="0" xfId="0" applyNumberFormat="1" applyFont="1" applyAlignment="1"/>
    <xf numFmtId="0" fontId="17" fillId="0" borderId="0" xfId="0" applyFont="1" applyAlignment="1"/>
    <xf numFmtId="0" fontId="12" fillId="2" borderId="0" xfId="0" applyFont="1" applyFill="1" applyAlignment="1"/>
    <xf numFmtId="37" fontId="11" fillId="2" borderId="0" xfId="0" applyNumberFormat="1" applyFont="1" applyFill="1" applyAlignment="1"/>
    <xf numFmtId="0" fontId="11" fillId="2" borderId="0" xfId="0" applyFont="1" applyFill="1" applyAlignment="1"/>
    <xf numFmtId="164" fontId="11" fillId="2" borderId="0" xfId="0" applyNumberFormat="1" applyFon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37" fontId="11" fillId="2" borderId="0" xfId="0" applyNumberFormat="1" applyFont="1" applyFill="1" applyAlignment="1">
      <alignment vertical="center"/>
    </xf>
    <xf numFmtId="164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5" fillId="0" borderId="0" xfId="0" applyFont="1" applyAlignment="1">
      <alignment horizontal="right"/>
    </xf>
    <xf numFmtId="0" fontId="17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7" fontId="11" fillId="0" borderId="0" xfId="0" applyNumberFormat="1" applyFont="1" applyFill="1" applyAlignment="1">
      <alignment vertical="center"/>
    </xf>
    <xf numFmtId="164" fontId="11" fillId="0" borderId="0" xfId="0" applyNumberFormat="1" applyFont="1" applyFill="1" applyAlignment="1">
      <alignment horizontal="center" vertical="center"/>
    </xf>
    <xf numFmtId="3" fontId="26" fillId="0" borderId="0" xfId="0" applyNumberFormat="1" applyFont="1"/>
    <xf numFmtId="3" fontId="27" fillId="0" borderId="0" xfId="0" applyNumberFormat="1" applyFont="1"/>
    <xf numFmtId="3" fontId="27" fillId="0" borderId="0" xfId="0" applyNumberFormat="1" applyFont="1" applyAlignment="1">
      <alignment horizontal="left"/>
    </xf>
    <xf numFmtId="3" fontId="38" fillId="0" borderId="0" xfId="0" applyNumberFormat="1" applyFont="1"/>
    <xf numFmtId="0" fontId="29" fillId="0" borderId="3" xfId="0" applyFont="1" applyBorder="1" applyAlignment="1">
      <alignment horizontal="center"/>
    </xf>
    <xf numFmtId="0" fontId="6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30" fillId="2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17" fillId="0" borderId="3" xfId="0" applyFont="1" applyFill="1" applyBorder="1" applyAlignment="1">
      <alignment vertical="center"/>
    </xf>
    <xf numFmtId="0" fontId="12" fillId="0" borderId="0" xfId="0" applyFont="1" applyFill="1" applyAlignment="1"/>
    <xf numFmtId="0" fontId="39" fillId="0" borderId="0" xfId="0" applyFont="1" applyFill="1" applyAlignment="1">
      <alignment vertical="center"/>
    </xf>
    <xf numFmtId="37" fontId="34" fillId="2" borderId="0" xfId="0" applyNumberFormat="1" applyFont="1" applyFill="1" applyAlignment="1">
      <alignment vertical="center"/>
    </xf>
    <xf numFmtId="164" fontId="34" fillId="2" borderId="0" xfId="0" applyNumberFormat="1" applyFont="1" applyFill="1" applyAlignment="1">
      <alignment horizontal="center" vertical="center"/>
    </xf>
    <xf numFmtId="37" fontId="35" fillId="2" borderId="0" xfId="0" applyNumberFormat="1" applyFont="1" applyFill="1" applyAlignment="1">
      <alignment vertical="center"/>
    </xf>
    <xf numFmtId="164" fontId="35" fillId="2" borderId="0" xfId="0" applyNumberFormat="1" applyFont="1" applyFill="1" applyAlignment="1">
      <alignment horizontal="center" vertical="center"/>
    </xf>
    <xf numFmtId="37" fontId="34" fillId="0" borderId="0" xfId="0" applyNumberFormat="1" applyFont="1" applyAlignment="1">
      <alignment vertical="center"/>
    </xf>
    <xf numFmtId="164" fontId="34" fillId="0" borderId="0" xfId="0" applyNumberFormat="1" applyFont="1" applyAlignment="1">
      <alignment horizontal="center" vertical="center"/>
    </xf>
    <xf numFmtId="37" fontId="35" fillId="0" borderId="0" xfId="0" applyNumberFormat="1" applyFont="1" applyFill="1" applyAlignment="1">
      <alignment vertical="center"/>
    </xf>
    <xf numFmtId="164" fontId="35" fillId="0" borderId="0" xfId="0" applyNumberFormat="1" applyFont="1" applyFill="1" applyAlignment="1">
      <alignment horizontal="center" vertical="center"/>
    </xf>
    <xf numFmtId="164" fontId="34" fillId="0" borderId="3" xfId="0" applyNumberFormat="1" applyFont="1" applyFill="1" applyBorder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37" fontId="36" fillId="0" borderId="0" xfId="0" applyNumberFormat="1" applyFont="1"/>
    <xf numFmtId="0" fontId="31" fillId="0" borderId="0" xfId="0" applyFont="1"/>
    <xf numFmtId="0" fontId="17" fillId="0" borderId="3" xfId="0" applyFont="1" applyBorder="1" applyAlignment="1">
      <alignment wrapText="1"/>
    </xf>
    <xf numFmtId="0" fontId="32" fillId="0" borderId="3" xfId="0" applyFont="1" applyBorder="1" applyAlignment="1">
      <alignment horizontal="right" wrapText="1"/>
    </xf>
    <xf numFmtId="0" fontId="32" fillId="0" borderId="3" xfId="0" applyFont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17" fillId="0" borderId="3" xfId="0" applyFont="1" applyBorder="1" applyAlignment="1"/>
    <xf numFmtId="0" fontId="17" fillId="0" borderId="0" xfId="0" applyFont="1" applyBorder="1"/>
    <xf numFmtId="0" fontId="17" fillId="0" borderId="0" xfId="0" applyFont="1" applyBorder="1" applyAlignment="1"/>
    <xf numFmtId="0" fontId="17" fillId="2" borderId="0" xfId="0" applyFont="1" applyFill="1" applyBorder="1" applyAlignment="1">
      <alignment vertical="center"/>
    </xf>
    <xf numFmtId="164" fontId="34" fillId="2" borderId="0" xfId="0" applyNumberFormat="1" applyFont="1" applyFill="1" applyBorder="1" applyAlignment="1">
      <alignment horizontal="center" vertical="center"/>
    </xf>
    <xf numFmtId="0" fontId="36" fillId="2" borderId="0" xfId="0" applyFont="1" applyFill="1" applyAlignment="1"/>
    <xf numFmtId="0" fontId="36" fillId="0" borderId="0" xfId="0" applyFont="1" applyAlignment="1"/>
    <xf numFmtId="0" fontId="37" fillId="0" borderId="0" xfId="0" applyFont="1"/>
    <xf numFmtId="37" fontId="12" fillId="0" borderId="6" xfId="0" applyNumberFormat="1" applyFont="1" applyBorder="1" applyAlignment="1">
      <alignment vertical="center"/>
    </xf>
    <xf numFmtId="164" fontId="12" fillId="0" borderId="6" xfId="0" applyNumberFormat="1" applyFont="1" applyBorder="1" applyAlignment="1">
      <alignment horizontal="center" vertical="center"/>
    </xf>
    <xf numFmtId="164" fontId="34" fillId="0" borderId="0" xfId="0" applyNumberFormat="1" applyFont="1" applyFill="1" applyAlignment="1">
      <alignment horizontal="center" vertical="center"/>
    </xf>
    <xf numFmtId="3" fontId="27" fillId="0" borderId="0" xfId="0" applyNumberFormat="1" applyFont="1" applyBorder="1"/>
    <xf numFmtId="3" fontId="11" fillId="0" borderId="3" xfId="0" applyNumberFormat="1" applyFont="1" applyBorder="1"/>
    <xf numFmtId="3" fontId="15" fillId="0" borderId="3" xfId="0" applyNumberFormat="1" applyFont="1" applyBorder="1"/>
    <xf numFmtId="0" fontId="0" fillId="0" borderId="0" xfId="0" applyAlignment="1">
      <alignment horizontal="right"/>
    </xf>
    <xf numFmtId="0" fontId="33" fillId="0" borderId="3" xfId="0" applyFont="1" applyBorder="1" applyAlignment="1">
      <alignment horizontal="right" wrapText="1"/>
    </xf>
    <xf numFmtId="37" fontId="12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4" fontId="0" fillId="0" borderId="0" xfId="0" applyNumberFormat="1"/>
    <xf numFmtId="40" fontId="11" fillId="0" borderId="1" xfId="1" applyNumberFormat="1" applyFont="1" applyBorder="1"/>
    <xf numFmtId="40" fontId="11" fillId="0" borderId="2" xfId="1" applyNumberFormat="1" applyFont="1" applyBorder="1"/>
    <xf numFmtId="40" fontId="11" fillId="0" borderId="3" xfId="1" applyNumberFormat="1" applyFont="1" applyBorder="1"/>
    <xf numFmtId="40" fontId="11" fillId="0" borderId="0" xfId="1" applyNumberFormat="1" applyFont="1"/>
    <xf numFmtId="40" fontId="34" fillId="0" borderId="1" xfId="1" applyNumberFormat="1" applyFont="1" applyBorder="1"/>
    <xf numFmtId="40" fontId="34" fillId="0" borderId="0" xfId="1" applyNumberFormat="1" applyFont="1" applyFill="1" applyBorder="1"/>
    <xf numFmtId="40" fontId="34" fillId="0" borderId="0" xfId="0" applyNumberFormat="1" applyFont="1"/>
    <xf numFmtId="40" fontId="34" fillId="0" borderId="3" xfId="0" applyNumberFormat="1" applyFont="1" applyBorder="1"/>
    <xf numFmtId="165" fontId="12" fillId="0" borderId="0" xfId="0" applyNumberFormat="1" applyFont="1" applyAlignment="1">
      <alignment horizontal="center" vertical="center"/>
    </xf>
    <xf numFmtId="4" fontId="8" fillId="0" borderId="0" xfId="0" applyNumberFormat="1" applyFont="1"/>
    <xf numFmtId="9" fontId="31" fillId="0" borderId="0" xfId="3" applyNumberFormat="1" applyFont="1"/>
    <xf numFmtId="9" fontId="41" fillId="0" borderId="0" xfId="3" applyNumberFormat="1" applyFont="1"/>
    <xf numFmtId="0" fontId="4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3" fontId="10" fillId="0" borderId="0" xfId="0" applyNumberFormat="1" applyFont="1" applyAlignment="1">
      <alignment horizontal="left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27625169817779"/>
          <c:y val="0.12593366464455233"/>
          <c:w val="0.66681215053562315"/>
          <c:h val="0.7499964406169853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'wkg for Grad bar'!$B$5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2BF49"/>
            </a:solidFill>
            <a:ln w="9525">
              <a:solidFill>
                <a:srgbClr val="F2BF49"/>
              </a:solidFill>
            </a:ln>
            <a:effectLst/>
          </c:spPr>
          <c:invertIfNegative val="0"/>
          <c:cat>
            <c:strRef>
              <c:f>'wkg for Grad bar'!$C$4:$M$4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Grad bar'!$C$5:$M$5</c:f>
              <c:numCache>
                <c:formatCode>#,##0_);\(#,##0\)</c:formatCode>
                <c:ptCount val="11"/>
                <c:pt idx="0">
                  <c:v>68483</c:v>
                </c:pt>
                <c:pt idx="1">
                  <c:v>72451</c:v>
                </c:pt>
                <c:pt idx="2" formatCode="???,??0">
                  <c:v>74687</c:v>
                </c:pt>
                <c:pt idx="3" formatCode="???,??0">
                  <c:v>79370</c:v>
                </c:pt>
                <c:pt idx="4" formatCode="???,??0">
                  <c:v>80669</c:v>
                </c:pt>
                <c:pt idx="5" formatCode="???,??0">
                  <c:v>76869</c:v>
                </c:pt>
                <c:pt idx="6" formatCode="???,??0">
                  <c:v>78173</c:v>
                </c:pt>
                <c:pt idx="7" formatCode="???,??0">
                  <c:v>81196</c:v>
                </c:pt>
                <c:pt idx="8" formatCode="???,??0">
                  <c:v>82751.22</c:v>
                </c:pt>
                <c:pt idx="9" formatCode="???,??0">
                  <c:v>85173.390000000014</c:v>
                </c:pt>
                <c:pt idx="10" formatCode="???,??0">
                  <c:v>82432.16339999999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79-4F9B-9F87-DD8A7C68D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4330848"/>
        <c:axId val="534333984"/>
      </c:barChart>
      <c:catAx>
        <c:axId val="534330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4333984"/>
        <c:crosses val="autoZero"/>
        <c:auto val="1"/>
        <c:lblAlgn val="ctr"/>
        <c:lblOffset val="100"/>
        <c:noMultiLvlLbl val="0"/>
      </c:catAx>
      <c:valAx>
        <c:axId val="534333984"/>
        <c:scaling>
          <c:orientation val="minMax"/>
          <c:max val="1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Univers 45 Light" pitchFamily="34" charset="0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Student Credit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Hours </a:t>
                </a:r>
                <a:r>
                  <a:rPr lang="en-US" b="0" i="1" baseline="0">
                    <a:solidFill>
                      <a:sysClr val="windowText" lastClr="000000"/>
                    </a:solidFill>
                  </a:rPr>
                  <a:t>(thousands)</a:t>
                </a:r>
                <a:endParaRPr lang="en-US" b="0" i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22884872724242802"/>
              <c:y val="0.940902944718747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4330848"/>
        <c:crosses val="autoZero"/>
        <c:crossBetween val="between"/>
        <c:majorUnit val="2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Univers 45 Light" pitchFamily="34" charset="0"/>
                <a:ea typeface="+mn-ea"/>
                <a:cs typeface="+mn-cs"/>
              </a:defRPr>
            </a:pPr>
            <a:r>
              <a:rPr lang="en-US" b="1">
                <a:latin typeface="Univers 45 Light" pitchFamily="34" charset="0"/>
              </a:rPr>
              <a:t>Total Undergraduate SCH by College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Univers 45 Light" pitchFamily="34" charset="0"/>
                <a:ea typeface="+mn-ea"/>
                <a:cs typeface="+mn-cs"/>
              </a:defRPr>
            </a:pPr>
            <a:r>
              <a:rPr lang="en-US" b="1">
                <a:latin typeface="Univers 45 Light" pitchFamily="34" charset="0"/>
              </a:rPr>
              <a:t>Fiscal Years</a:t>
            </a:r>
            <a:r>
              <a:rPr lang="en-US" b="1" baseline="0">
                <a:latin typeface="Univers 45 Light" pitchFamily="34" charset="0"/>
              </a:rPr>
              <a:t> </a:t>
            </a:r>
            <a:r>
              <a:rPr lang="en-US" b="1">
                <a:latin typeface="Univers 45 Light" pitchFamily="34" charset="0"/>
              </a:rPr>
              <a:t>2005-2006</a:t>
            </a:r>
            <a:r>
              <a:rPr lang="en-US" b="1" baseline="0">
                <a:latin typeface="Univers 45 Light" pitchFamily="34" charset="0"/>
              </a:rPr>
              <a:t> through 2016-2017</a:t>
            </a:r>
            <a:endParaRPr lang="en-US" b="1">
              <a:latin typeface="Univers 45 Light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'wkg for UG Bar'!$B$2</c:f>
              <c:strCache>
                <c:ptCount val="1"/>
                <c:pt idx="0">
                  <c:v>Total SCH</c:v>
                </c:pt>
              </c:strCache>
            </c:strRef>
          </c:tx>
          <c:spPr>
            <a:solidFill>
              <a:srgbClr val="F2BF49"/>
            </a:solidFill>
            <a:ln w="9525">
              <a:solidFill>
                <a:srgbClr val="F2BF49"/>
              </a:solidFill>
            </a:ln>
            <a:effectLst/>
          </c:spPr>
          <c:invertIfNegative val="0"/>
          <c:cat>
            <c:strRef>
              <c:f>'wkg for UG Bar'!$C$1:$M$1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UG Bar'!$C$2:$M$2</c:f>
              <c:numCache>
                <c:formatCode>#,##0_);\(#,##0\)</c:formatCode>
                <c:ptCount val="11"/>
                <c:pt idx="0">
                  <c:v>592796</c:v>
                </c:pt>
                <c:pt idx="1">
                  <c:v>609412</c:v>
                </c:pt>
                <c:pt idx="2" formatCode="???,??0">
                  <c:v>634669</c:v>
                </c:pt>
                <c:pt idx="3" formatCode="???,??0">
                  <c:v>663954</c:v>
                </c:pt>
                <c:pt idx="4" formatCode="???,??0">
                  <c:v>681034</c:v>
                </c:pt>
                <c:pt idx="5" formatCode="???,??0">
                  <c:v>723841</c:v>
                </c:pt>
                <c:pt idx="6" formatCode="???,??0">
                  <c:v>762148</c:v>
                </c:pt>
                <c:pt idx="7" formatCode="???,??0">
                  <c:v>816235</c:v>
                </c:pt>
                <c:pt idx="8" formatCode="???,??0">
                  <c:v>854434.71</c:v>
                </c:pt>
                <c:pt idx="9" formatCode="???,??0">
                  <c:v>882547.82999999984</c:v>
                </c:pt>
                <c:pt idx="10" formatCode="???,??0">
                  <c:v>895711.52759999991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49-4CBD-8531-FDDAB7B2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594712"/>
        <c:axId val="172595888"/>
      </c:barChart>
      <c:catAx>
        <c:axId val="172594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172595888"/>
        <c:crosses val="autoZero"/>
        <c:auto val="1"/>
        <c:lblAlgn val="ctr"/>
        <c:lblOffset val="100"/>
        <c:noMultiLvlLbl val="0"/>
      </c:catAx>
      <c:valAx>
        <c:axId val="172595888"/>
        <c:scaling>
          <c:orientation val="minMax"/>
          <c:max val="9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Univers 45 Light" pitchFamily="34" charset="0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Student Credit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Hours</a:t>
                </a:r>
                <a:endParaRPr lang="en-US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172594712"/>
        <c:crosses val="autoZero"/>
        <c:crossBetween val="between"/>
        <c:majorUnit val="90000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Univers 45 Light" pitchFamily="34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'wkg for grad line'!$B$12</c:f>
              <c:strCache>
                <c:ptCount val="1"/>
                <c:pt idx="0">
                  <c:v>Agriculture and Life Sciences</c:v>
                </c:pt>
              </c:strCache>
            </c:strRef>
          </c:tx>
          <c:spPr>
            <a:ln w="38100" cap="rnd">
              <a:solidFill>
                <a:srgbClr val="076D54"/>
              </a:solidFill>
              <a:round/>
            </a:ln>
            <a:effectLst/>
          </c:spPr>
          <c:marker>
            <c:symbol val="none"/>
          </c:marker>
          <c:cat>
            <c:strRef>
              <c:f>'wkg for grad line'!$C$1:$M$1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grad line'!$C$12:$M$12</c:f>
              <c:numCache>
                <c:formatCode>#,##0_);\(#,##0\)</c:formatCode>
                <c:ptCount val="11"/>
                <c:pt idx="0">
                  <c:v>11189</c:v>
                </c:pt>
                <c:pt idx="1">
                  <c:v>11137</c:v>
                </c:pt>
                <c:pt idx="2" formatCode="???,??0">
                  <c:v>11432</c:v>
                </c:pt>
                <c:pt idx="3" formatCode="???,??0">
                  <c:v>11577</c:v>
                </c:pt>
                <c:pt idx="4" formatCode="???,??0">
                  <c:v>11272</c:v>
                </c:pt>
                <c:pt idx="5" formatCode="???,??0">
                  <c:v>9536</c:v>
                </c:pt>
                <c:pt idx="6" formatCode="???,??0">
                  <c:v>10222</c:v>
                </c:pt>
                <c:pt idx="7" formatCode="???,??0">
                  <c:v>10905</c:v>
                </c:pt>
                <c:pt idx="8" formatCode="???,??0">
                  <c:v>12642.43</c:v>
                </c:pt>
                <c:pt idx="9" formatCode="???,??0">
                  <c:v>12696.21</c:v>
                </c:pt>
                <c:pt idx="10" formatCode="???,??0">
                  <c:v>12162.2909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83C-4EF2-87A6-94362BF8A66B}"/>
            </c:ext>
          </c:extLst>
        </c:ser>
        <c:ser>
          <c:idx val="1"/>
          <c:order val="1"/>
          <c:tx>
            <c:strRef>
              <c:f>'wkg for grad line'!$B$13</c:f>
              <c:strCache>
                <c:ptCount val="1"/>
                <c:pt idx="0">
                  <c:v>Business</c:v>
                </c:pt>
              </c:strCache>
            </c:strRef>
          </c:tx>
          <c:spPr>
            <a:ln w="38100" cap="rnd">
              <a:solidFill>
                <a:srgbClr val="C4B796"/>
              </a:solidFill>
              <a:round/>
            </a:ln>
            <a:effectLst/>
          </c:spPr>
          <c:marker>
            <c:symbol val="none"/>
          </c:marker>
          <c:cat>
            <c:strRef>
              <c:f>'wkg for grad line'!$C$1:$M$1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grad line'!$C$13:$M$13</c:f>
              <c:numCache>
                <c:formatCode>#,##0_);\(#,##0\)</c:formatCode>
                <c:ptCount val="11"/>
                <c:pt idx="0">
                  <c:v>3998</c:v>
                </c:pt>
                <c:pt idx="1">
                  <c:v>4324</c:v>
                </c:pt>
                <c:pt idx="2" formatCode="???,??0">
                  <c:v>4758</c:v>
                </c:pt>
                <c:pt idx="3" formatCode="???,??0">
                  <c:v>4896</c:v>
                </c:pt>
                <c:pt idx="4" formatCode="???,??0">
                  <c:v>4626</c:v>
                </c:pt>
                <c:pt idx="5" formatCode="???,??0">
                  <c:v>4483</c:v>
                </c:pt>
                <c:pt idx="6" formatCode="???,??0">
                  <c:v>3987</c:v>
                </c:pt>
                <c:pt idx="7" formatCode="???,??0">
                  <c:v>4173</c:v>
                </c:pt>
                <c:pt idx="8" formatCode="???,??0">
                  <c:v>4905.3999999999996</c:v>
                </c:pt>
                <c:pt idx="9" formatCode="???,??0">
                  <c:v>5767.24</c:v>
                </c:pt>
                <c:pt idx="10" formatCode="???,??0">
                  <c:v>5691.7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3C-4EF2-87A6-94362BF8A66B}"/>
            </c:ext>
          </c:extLst>
        </c:ser>
        <c:ser>
          <c:idx val="2"/>
          <c:order val="2"/>
          <c:tx>
            <c:strRef>
              <c:f>'wkg for grad line'!$B$14</c:f>
              <c:strCache>
                <c:ptCount val="1"/>
                <c:pt idx="0">
                  <c:v>Design</c:v>
                </c:pt>
              </c:strCache>
            </c:strRef>
          </c:tx>
          <c:spPr>
            <a:ln w="28575" cap="rnd">
              <a:solidFill>
                <a:srgbClr val="8499A5"/>
              </a:solidFill>
              <a:round/>
            </a:ln>
            <a:effectLst/>
          </c:spPr>
          <c:marker>
            <c:symbol val="none"/>
          </c:marker>
          <c:cat>
            <c:strRef>
              <c:f>'wkg for grad line'!$C$1:$M$1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grad line'!$C$14:$M$14</c:f>
              <c:numCache>
                <c:formatCode>#,##0_);\(#,##0\)</c:formatCode>
                <c:ptCount val="11"/>
                <c:pt idx="0">
                  <c:v>3215</c:v>
                </c:pt>
                <c:pt idx="1">
                  <c:v>3666</c:v>
                </c:pt>
                <c:pt idx="2" formatCode="???,??0">
                  <c:v>3857</c:v>
                </c:pt>
                <c:pt idx="3" formatCode="???,??0">
                  <c:v>4183</c:v>
                </c:pt>
                <c:pt idx="4" formatCode="???,??0">
                  <c:v>5725</c:v>
                </c:pt>
                <c:pt idx="5" formatCode="???,??0">
                  <c:v>5565</c:v>
                </c:pt>
                <c:pt idx="6" formatCode="???,??0">
                  <c:v>6642</c:v>
                </c:pt>
                <c:pt idx="7" formatCode="???,??0">
                  <c:v>7204</c:v>
                </c:pt>
                <c:pt idx="8" formatCode="???,??0">
                  <c:v>6836.25</c:v>
                </c:pt>
                <c:pt idx="9" formatCode="???,??0">
                  <c:v>6667.25</c:v>
                </c:pt>
                <c:pt idx="10" formatCode="???,??0">
                  <c:v>6557.25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83C-4EF2-87A6-94362BF8A66B}"/>
            </c:ext>
          </c:extLst>
        </c:ser>
        <c:ser>
          <c:idx val="3"/>
          <c:order val="3"/>
          <c:tx>
            <c:strRef>
              <c:f>'wkg for grad line'!$B$15</c:f>
              <c:strCache>
                <c:ptCount val="1"/>
                <c:pt idx="0">
                  <c:v>Engineering</c:v>
                </c:pt>
              </c:strCache>
            </c:strRef>
          </c:tx>
          <c:spPr>
            <a:ln w="38100" cap="rnd">
              <a:solidFill>
                <a:srgbClr val="CE1126"/>
              </a:solidFill>
              <a:round/>
            </a:ln>
            <a:effectLst/>
          </c:spPr>
          <c:marker>
            <c:symbol val="none"/>
          </c:marker>
          <c:cat>
            <c:strRef>
              <c:f>'wkg for grad line'!$C$1:$M$1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grad line'!$C$15:$M$15</c:f>
              <c:numCache>
                <c:formatCode>#,##0_);\(#,##0\)</c:formatCode>
                <c:ptCount val="11"/>
                <c:pt idx="0">
                  <c:v>13834</c:v>
                </c:pt>
                <c:pt idx="1">
                  <c:v>14892</c:v>
                </c:pt>
                <c:pt idx="2" formatCode="???,??0">
                  <c:v>15230</c:v>
                </c:pt>
                <c:pt idx="3" formatCode="???,??0">
                  <c:v>17050</c:v>
                </c:pt>
                <c:pt idx="4" formatCode="???,??0">
                  <c:v>17181</c:v>
                </c:pt>
                <c:pt idx="5" formatCode="???,??0">
                  <c:v>15487</c:v>
                </c:pt>
                <c:pt idx="6" formatCode="???,??0">
                  <c:v>17484</c:v>
                </c:pt>
                <c:pt idx="7" formatCode="???,??0">
                  <c:v>18520</c:v>
                </c:pt>
                <c:pt idx="8" formatCode="???,??0">
                  <c:v>20741.120000000003</c:v>
                </c:pt>
                <c:pt idx="9" formatCode="???,??0">
                  <c:v>22006.550000000003</c:v>
                </c:pt>
                <c:pt idx="10" formatCode="???,??0">
                  <c:v>21877.035200000002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83C-4EF2-87A6-94362BF8A66B}"/>
            </c:ext>
          </c:extLst>
        </c:ser>
        <c:ser>
          <c:idx val="4"/>
          <c:order val="4"/>
          <c:tx>
            <c:strRef>
              <c:f>'wkg for grad line'!$B$16</c:f>
              <c:strCache>
                <c:ptCount val="1"/>
                <c:pt idx="0">
                  <c:v>Human Sciences</c:v>
                </c:pt>
              </c:strCache>
            </c:strRef>
          </c:tx>
          <c:spPr>
            <a:ln w="38100" cap="rnd">
              <a:solidFill>
                <a:srgbClr val="3A75C4"/>
              </a:solidFill>
              <a:round/>
            </a:ln>
            <a:effectLst/>
          </c:spPr>
          <c:marker>
            <c:symbol val="none"/>
          </c:marker>
          <c:cat>
            <c:strRef>
              <c:f>'wkg for grad line'!$C$1:$M$1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grad line'!$C$16:$M$16</c:f>
              <c:numCache>
                <c:formatCode>#,##0_);\(#,##0\)</c:formatCode>
                <c:ptCount val="11"/>
                <c:pt idx="0">
                  <c:v>8884</c:v>
                </c:pt>
                <c:pt idx="1">
                  <c:v>9951</c:v>
                </c:pt>
                <c:pt idx="2" formatCode="???,??0">
                  <c:v>11037</c:v>
                </c:pt>
                <c:pt idx="3" formatCode="???,??0">
                  <c:v>12626</c:v>
                </c:pt>
                <c:pt idx="4" formatCode="???,??0">
                  <c:v>13050</c:v>
                </c:pt>
                <c:pt idx="5" formatCode="???,??0">
                  <c:v>14374</c:v>
                </c:pt>
                <c:pt idx="6" formatCode="???,??0">
                  <c:v>14088</c:v>
                </c:pt>
                <c:pt idx="7" formatCode="???,??0">
                  <c:v>14170</c:v>
                </c:pt>
                <c:pt idx="8" formatCode="???,??0">
                  <c:v>14906.849999999999</c:v>
                </c:pt>
                <c:pt idx="9" formatCode="???,??0">
                  <c:v>14415.68</c:v>
                </c:pt>
                <c:pt idx="10" formatCode="???,??0">
                  <c:v>12814.149900000002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83C-4EF2-87A6-94362BF8A66B}"/>
            </c:ext>
          </c:extLst>
        </c:ser>
        <c:ser>
          <c:idx val="5"/>
          <c:order val="5"/>
          <c:tx>
            <c:strRef>
              <c:f>'wkg for grad line'!$B$17</c:f>
              <c:strCache>
                <c:ptCount val="1"/>
                <c:pt idx="0">
                  <c:v>Liberal Arts and Sciences</c:v>
                </c:pt>
              </c:strCache>
            </c:strRef>
          </c:tx>
          <c:spPr>
            <a:ln w="28575" cap="rnd">
              <a:solidFill>
                <a:srgbClr val="F2BF49"/>
              </a:solidFill>
              <a:round/>
            </a:ln>
            <a:effectLst/>
          </c:spPr>
          <c:marker>
            <c:symbol val="none"/>
          </c:marker>
          <c:cat>
            <c:strRef>
              <c:f>'wkg for grad line'!$C$1:$M$1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grad line'!$C$17:$M$17</c:f>
              <c:numCache>
                <c:formatCode>#,##0_);\(#,##0\)</c:formatCode>
                <c:ptCount val="11"/>
                <c:pt idx="0">
                  <c:v>24440</c:v>
                </c:pt>
                <c:pt idx="1">
                  <c:v>24967</c:v>
                </c:pt>
                <c:pt idx="2" formatCode="???,??0">
                  <c:v>24928</c:v>
                </c:pt>
                <c:pt idx="3" formatCode="???,??0">
                  <c:v>25421</c:v>
                </c:pt>
                <c:pt idx="4" formatCode="???,??0">
                  <c:v>25117</c:v>
                </c:pt>
                <c:pt idx="5" formatCode="???,??0">
                  <c:v>22729</c:v>
                </c:pt>
                <c:pt idx="6" formatCode="???,??0">
                  <c:v>22156</c:v>
                </c:pt>
                <c:pt idx="7" formatCode="???,??0">
                  <c:v>22000</c:v>
                </c:pt>
                <c:pt idx="8" formatCode="???,??0">
                  <c:v>22033.27</c:v>
                </c:pt>
                <c:pt idx="9" formatCode="???,??0">
                  <c:v>22910.29</c:v>
                </c:pt>
                <c:pt idx="10" formatCode="???,??0">
                  <c:v>22667.9879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83C-4EF2-87A6-94362BF8A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593144"/>
        <c:axId val="172596672"/>
      </c:lineChart>
      <c:catAx>
        <c:axId val="172593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172596672"/>
        <c:crosses val="autoZero"/>
        <c:auto val="1"/>
        <c:lblAlgn val="ctr"/>
        <c:lblOffset val="100"/>
        <c:noMultiLvlLbl val="0"/>
      </c:catAx>
      <c:valAx>
        <c:axId val="172596672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172593144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Univers 45 Light" pitchFamily="34" charset="0"/>
              </a:rPr>
              <a:t>Graduate SCH by College</a:t>
            </a:r>
          </a:p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Univers 45 Light" pitchFamily="34" charset="0"/>
              </a:rPr>
              <a:t>Fiscal Years</a:t>
            </a:r>
            <a:r>
              <a:rPr lang="en-US" b="1" baseline="0">
                <a:solidFill>
                  <a:sysClr val="windowText" lastClr="000000"/>
                </a:solidFill>
                <a:latin typeface="Univers 45 Light" pitchFamily="34" charset="0"/>
              </a:rPr>
              <a:t> </a:t>
            </a:r>
            <a:r>
              <a:rPr lang="en-US" b="1">
                <a:solidFill>
                  <a:sysClr val="windowText" lastClr="000000"/>
                </a:solidFill>
                <a:latin typeface="Univers 45 Light" pitchFamily="34" charset="0"/>
              </a:rPr>
              <a:t>2007-2008</a:t>
            </a:r>
            <a:r>
              <a:rPr lang="en-US" b="1" baseline="0">
                <a:solidFill>
                  <a:sysClr val="windowText" lastClr="000000"/>
                </a:solidFill>
                <a:latin typeface="Univers 45 Light" pitchFamily="34" charset="0"/>
              </a:rPr>
              <a:t> through 2016-2017</a:t>
            </a:r>
            <a:endParaRPr lang="en-US" b="1">
              <a:solidFill>
                <a:sysClr val="windowText" lastClr="000000"/>
              </a:solidFill>
              <a:latin typeface="Univers 45 Light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'wkg for Grad bar'!$B$5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76D54"/>
            </a:solidFill>
            <a:ln w="9525">
              <a:solidFill>
                <a:srgbClr val="076D54"/>
              </a:solidFill>
            </a:ln>
            <a:effectLst/>
          </c:spPr>
          <c:invertIfNegative val="0"/>
          <c:cat>
            <c:strRef>
              <c:f>'wkg for Grad bar'!$C$4:$M$4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Grad bar'!$C$5:$M$5</c:f>
              <c:numCache>
                <c:formatCode>#,##0_);\(#,##0\)</c:formatCode>
                <c:ptCount val="11"/>
                <c:pt idx="0">
                  <c:v>68483</c:v>
                </c:pt>
                <c:pt idx="1">
                  <c:v>72451</c:v>
                </c:pt>
                <c:pt idx="2" formatCode="???,??0">
                  <c:v>74687</c:v>
                </c:pt>
                <c:pt idx="3" formatCode="???,??0">
                  <c:v>79370</c:v>
                </c:pt>
                <c:pt idx="4" formatCode="???,??0">
                  <c:v>80669</c:v>
                </c:pt>
                <c:pt idx="5" formatCode="???,??0">
                  <c:v>76869</c:v>
                </c:pt>
                <c:pt idx="6" formatCode="???,??0">
                  <c:v>78173</c:v>
                </c:pt>
                <c:pt idx="7" formatCode="???,??0">
                  <c:v>81196</c:v>
                </c:pt>
                <c:pt idx="8" formatCode="???,??0">
                  <c:v>82751.22</c:v>
                </c:pt>
                <c:pt idx="9" formatCode="???,??0">
                  <c:v>85173.390000000014</c:v>
                </c:pt>
                <c:pt idx="10" formatCode="???,??0">
                  <c:v>82432.16339999999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91-4578-945B-B5CB2ECBD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593536"/>
        <c:axId val="172593928"/>
      </c:barChart>
      <c:catAx>
        <c:axId val="172593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172593928"/>
        <c:crosses val="autoZero"/>
        <c:auto val="1"/>
        <c:lblAlgn val="ctr"/>
        <c:lblOffset val="100"/>
        <c:noMultiLvlLbl val="0"/>
      </c:catAx>
      <c:valAx>
        <c:axId val="172593928"/>
        <c:scaling>
          <c:orientation val="minMax"/>
          <c:max val="1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Univers 45 Light" pitchFamily="34" charset="0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Student Credit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Hours</a:t>
                </a:r>
                <a:endParaRPr lang="en-US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0918596572487259"/>
              <c:y val="0.966208051779345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172593536"/>
        <c:crosses val="autoZero"/>
        <c:crossBetween val="between"/>
        <c:majorUnit val="2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  <a:latin typeface="Univers 45 Light" pitchFamily="34" charset="0"/>
              </a:rPr>
              <a:t>Tota</a:t>
            </a:r>
            <a:r>
              <a:rPr lang="en-US" sz="1400" b="1" baseline="0">
                <a:solidFill>
                  <a:sysClr val="windowText" lastClr="000000"/>
                </a:solidFill>
                <a:latin typeface="Univers 45 Light" pitchFamily="34" charset="0"/>
              </a:rPr>
              <a:t>l SCH by College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  <a:latin typeface="Univers 45 Light" pitchFamily="34" charset="0"/>
              </a:rPr>
              <a:t>Fiscal Year 2016-2017</a:t>
            </a:r>
          </a:p>
        </c:rich>
      </c:tx>
      <c:layout>
        <c:manualLayout>
          <c:xMode val="edge"/>
          <c:yMode val="edge"/>
          <c:x val="3.1251573005429117E-3"/>
          <c:y val="0.4119724657059377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65546115799928"/>
          <c:y val="0.12590623919819249"/>
          <c:w val="0.40723667107639944"/>
          <c:h val="0.80364017391545639"/>
        </c:manualLayout>
      </c:layout>
      <c:pieChart>
        <c:varyColors val="1"/>
        <c:ser>
          <c:idx val="0"/>
          <c:order val="0"/>
          <c:tx>
            <c:strRef>
              <c:f>'wkg for pie'!$B$4</c:f>
              <c:strCache>
                <c:ptCount val="1"/>
                <c:pt idx="0">
                  <c:v>FY2017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2BF49"/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C2C-44E2-ACB7-066622AA63F1}"/>
              </c:ext>
            </c:extLst>
          </c:dPt>
          <c:dPt>
            <c:idx val="1"/>
            <c:bubble3D val="0"/>
            <c:spPr>
              <a:solidFill>
                <a:srgbClr val="CE1126"/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C2C-44E2-ACB7-066622AA63F1}"/>
              </c:ext>
            </c:extLst>
          </c:dPt>
          <c:dPt>
            <c:idx val="2"/>
            <c:bubble3D val="0"/>
            <c:spPr>
              <a:solidFill>
                <a:srgbClr val="3A75C4"/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C2C-44E2-ACB7-066622AA63F1}"/>
              </c:ext>
            </c:extLst>
          </c:dPt>
          <c:dPt>
            <c:idx val="3"/>
            <c:bubble3D val="0"/>
            <c:spPr>
              <a:solidFill>
                <a:srgbClr val="076D54"/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C2C-44E2-ACB7-066622AA63F1}"/>
              </c:ext>
            </c:extLst>
          </c:dPt>
          <c:dPt>
            <c:idx val="4"/>
            <c:bubble3D val="0"/>
            <c:spPr>
              <a:solidFill>
                <a:srgbClr val="C4B796"/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C2C-44E2-ACB7-066622AA63F1}"/>
              </c:ext>
            </c:extLst>
          </c:dPt>
          <c:dPt>
            <c:idx val="5"/>
            <c:bubble3D val="0"/>
            <c:spPr>
              <a:solidFill>
                <a:srgbClr val="8499A5"/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C2C-44E2-ACB7-066622AA63F1}"/>
              </c:ext>
            </c:extLst>
          </c:dPt>
          <c:dPt>
            <c:idx val="6"/>
            <c:bubble3D val="0"/>
            <c:spPr>
              <a:solidFill>
                <a:srgbClr val="827F77"/>
              </a:solidFill>
              <a:ln w="12700"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C2C-44E2-ACB7-066622AA63F1}"/>
              </c:ext>
            </c:extLst>
          </c:dPt>
          <c:dPt>
            <c:idx val="7"/>
            <c:bubble3D val="0"/>
            <c:spPr>
              <a:solidFill>
                <a:srgbClr val="BC5E1E"/>
              </a:solidFill>
              <a:ln w="12700"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C2C-44E2-ACB7-066622AA63F1}"/>
              </c:ext>
            </c:extLst>
          </c:dPt>
          <c:dLbls>
            <c:dLbl>
              <c:idx val="1"/>
              <c:layout>
                <c:manualLayout>
                  <c:x val="-1.9133207128935889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C2C-44E2-ACB7-066622AA63F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8446573602483776E-2"/>
                  <c:y val="-2.480442589082091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C2C-44E2-ACB7-066622AA63F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Univers 45 Light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'wkg for pie'!$A$5:$A$12</c:f>
              <c:strCache>
                <c:ptCount val="8"/>
                <c:pt idx="0">
                  <c:v>LAS</c:v>
                </c:pt>
                <c:pt idx="1">
                  <c:v>ENGR</c:v>
                </c:pt>
                <c:pt idx="2">
                  <c:v>HS</c:v>
                </c:pt>
                <c:pt idx="3">
                  <c:v>CALS</c:v>
                </c:pt>
                <c:pt idx="4">
                  <c:v>BUS</c:v>
                </c:pt>
                <c:pt idx="5">
                  <c:v>DSN</c:v>
                </c:pt>
                <c:pt idx="6">
                  <c:v>VM</c:v>
                </c:pt>
                <c:pt idx="7">
                  <c:v>OTHER</c:v>
                </c:pt>
              </c:strCache>
            </c:strRef>
          </c:cat>
          <c:val>
            <c:numRef>
              <c:f>'wkg for pie'!$B$5:$B$12</c:f>
              <c:numCache>
                <c:formatCode>???,??0</c:formatCode>
                <c:ptCount val="8"/>
                <c:pt idx="0">
                  <c:v>475623</c:v>
                </c:pt>
                <c:pt idx="1">
                  <c:v>137123</c:v>
                </c:pt>
                <c:pt idx="2">
                  <c:v>112175</c:v>
                </c:pt>
                <c:pt idx="3">
                  <c:v>110962</c:v>
                </c:pt>
                <c:pt idx="4">
                  <c:v>86430</c:v>
                </c:pt>
                <c:pt idx="5">
                  <c:v>46005</c:v>
                </c:pt>
                <c:pt idx="6">
                  <c:v>27088</c:v>
                </c:pt>
                <c:pt idx="7">
                  <c:v>8733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BC2C-44E2-ACB7-066622AA6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7236651215456"/>
          <c:y val="2.0558395353078639E-2"/>
          <c:w val="0.67329541684020655"/>
          <c:h val="0.7233876692221851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'wkg for UG Bar'!$B$2</c:f>
              <c:strCache>
                <c:ptCount val="1"/>
                <c:pt idx="0">
                  <c:v>Total SCH</c:v>
                </c:pt>
              </c:strCache>
            </c:strRef>
          </c:tx>
          <c:spPr>
            <a:solidFill>
              <a:srgbClr val="CE1126"/>
            </a:solidFill>
            <a:ln w="9525">
              <a:solidFill>
                <a:srgbClr val="F2BF49"/>
              </a:solidFill>
            </a:ln>
            <a:effectLst/>
          </c:spPr>
          <c:invertIfNegative val="0"/>
          <c:cat>
            <c:strRef>
              <c:f>'wkg for UG Bar'!$C$1:$M$1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UG Bar'!$C$2:$M$2</c:f>
              <c:numCache>
                <c:formatCode>#,##0_);\(#,##0\)</c:formatCode>
                <c:ptCount val="11"/>
                <c:pt idx="0">
                  <c:v>592796</c:v>
                </c:pt>
                <c:pt idx="1">
                  <c:v>609412</c:v>
                </c:pt>
                <c:pt idx="2" formatCode="???,??0">
                  <c:v>634669</c:v>
                </c:pt>
                <c:pt idx="3" formatCode="???,??0">
                  <c:v>663954</c:v>
                </c:pt>
                <c:pt idx="4" formatCode="???,??0">
                  <c:v>681034</c:v>
                </c:pt>
                <c:pt idx="5" formatCode="???,??0">
                  <c:v>723841</c:v>
                </c:pt>
                <c:pt idx="6" formatCode="???,??0">
                  <c:v>762148</c:v>
                </c:pt>
                <c:pt idx="7" formatCode="???,??0">
                  <c:v>816235</c:v>
                </c:pt>
                <c:pt idx="8" formatCode="???,??0">
                  <c:v>854434.71</c:v>
                </c:pt>
                <c:pt idx="9" formatCode="???,??0">
                  <c:v>882547.82999999984</c:v>
                </c:pt>
                <c:pt idx="10" formatCode="???,??0">
                  <c:v>895711.52759999991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2C-4763-92A7-55A3D48C2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2818928"/>
        <c:axId val="532818536"/>
      </c:barChart>
      <c:catAx>
        <c:axId val="532818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8536"/>
        <c:crosses val="autoZero"/>
        <c:auto val="1"/>
        <c:lblAlgn val="ctr"/>
        <c:lblOffset val="100"/>
        <c:noMultiLvlLbl val="0"/>
      </c:catAx>
      <c:valAx>
        <c:axId val="532818536"/>
        <c:scaling>
          <c:orientation val="minMax"/>
          <c:max val="9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Univers 45 Light" pitchFamily="34" charset="0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Student Credit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Hours </a:t>
                </a:r>
                <a:r>
                  <a:rPr lang="en-US" b="0" i="1" baseline="0">
                    <a:solidFill>
                      <a:sysClr val="windowText" lastClr="000000"/>
                    </a:solidFill>
                  </a:rPr>
                  <a:t>(thousands)</a:t>
                </a:r>
                <a:endParaRPr lang="en-US" b="0" i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22716252172955795"/>
              <c:y val="0.808171241315856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8928"/>
        <c:crosses val="autoZero"/>
        <c:crossBetween val="between"/>
        <c:majorUnit val="1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54688618468145"/>
          <c:y val="4.2750122889800235E-2"/>
          <c:w val="0.83468526434195722"/>
          <c:h val="0.85182240693648592"/>
        </c:manualLayout>
      </c:layout>
      <c:lineChart>
        <c:grouping val="standard"/>
        <c:varyColors val="0"/>
        <c:ser>
          <c:idx val="0"/>
          <c:order val="0"/>
          <c:tx>
            <c:strRef>
              <c:f>'wkg for UG Line'!$B$2</c:f>
              <c:strCache>
                <c:ptCount val="1"/>
                <c:pt idx="0">
                  <c:v>Agriculture and Life Sciences</c:v>
                </c:pt>
              </c:strCache>
            </c:strRef>
          </c:tx>
          <c:spPr>
            <a:ln w="38100" cap="rnd">
              <a:solidFill>
                <a:srgbClr val="076D54"/>
              </a:solidFill>
              <a:round/>
            </a:ln>
            <a:effectLst/>
          </c:spPr>
          <c:marker>
            <c:symbol val="none"/>
          </c:marker>
          <c:cat>
            <c:strRef>
              <c:f>'wkg for UG Line'!$C$1:$M$1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UG Line'!$C$2:$M$2</c:f>
              <c:numCache>
                <c:formatCode>#,##0_);\(#,##0\)</c:formatCode>
                <c:ptCount val="11"/>
                <c:pt idx="0">
                  <c:v>45551</c:v>
                </c:pt>
                <c:pt idx="1">
                  <c:v>50358</c:v>
                </c:pt>
                <c:pt idx="2" formatCode="???,??0">
                  <c:v>54126</c:v>
                </c:pt>
                <c:pt idx="3" formatCode="???,??0">
                  <c:v>62143</c:v>
                </c:pt>
                <c:pt idx="4" formatCode="???,??0">
                  <c:v>64722</c:v>
                </c:pt>
                <c:pt idx="5" formatCode="???,??0">
                  <c:v>69169</c:v>
                </c:pt>
                <c:pt idx="6" formatCode="???,??0">
                  <c:v>78068</c:v>
                </c:pt>
                <c:pt idx="7" formatCode="???,??0">
                  <c:v>82008</c:v>
                </c:pt>
                <c:pt idx="8" formatCode="???,??0">
                  <c:v>96557.959999999992</c:v>
                </c:pt>
                <c:pt idx="9" formatCode="???,??0">
                  <c:v>98944.95</c:v>
                </c:pt>
                <c:pt idx="10" formatCode="???,??0">
                  <c:v>98751.122700000007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46D-4EB6-95DD-24C9E029DBB3}"/>
            </c:ext>
          </c:extLst>
        </c:ser>
        <c:ser>
          <c:idx val="1"/>
          <c:order val="1"/>
          <c:tx>
            <c:strRef>
              <c:f>'wkg for UG Line'!$B$3</c:f>
              <c:strCache>
                <c:ptCount val="1"/>
                <c:pt idx="0">
                  <c:v>Business</c:v>
                </c:pt>
              </c:strCache>
            </c:strRef>
          </c:tx>
          <c:spPr>
            <a:ln w="38100" cap="rnd">
              <a:solidFill>
                <a:srgbClr val="C4B796"/>
              </a:solidFill>
              <a:round/>
            </a:ln>
            <a:effectLst/>
          </c:spPr>
          <c:marker>
            <c:symbol val="none"/>
          </c:marker>
          <c:cat>
            <c:strRef>
              <c:f>'wkg for UG Line'!$C$1:$M$1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UG Line'!$C$3:$M$3</c:f>
              <c:numCache>
                <c:formatCode>#,##0_);\(#,##0\)</c:formatCode>
                <c:ptCount val="11"/>
                <c:pt idx="0">
                  <c:v>55410</c:v>
                </c:pt>
                <c:pt idx="1">
                  <c:v>55553</c:v>
                </c:pt>
                <c:pt idx="2" formatCode="???,??0">
                  <c:v>55849</c:v>
                </c:pt>
                <c:pt idx="3" formatCode="???,??0">
                  <c:v>58234</c:v>
                </c:pt>
                <c:pt idx="4" formatCode="???,??0">
                  <c:v>55747</c:v>
                </c:pt>
                <c:pt idx="5" formatCode="???,??0">
                  <c:v>59198</c:v>
                </c:pt>
                <c:pt idx="6" formatCode="???,??0">
                  <c:v>62513</c:v>
                </c:pt>
                <c:pt idx="7" formatCode="???,??0">
                  <c:v>66699</c:v>
                </c:pt>
                <c:pt idx="8" formatCode="???,??0">
                  <c:v>68837.399999999994</c:v>
                </c:pt>
                <c:pt idx="9" formatCode="???,??0">
                  <c:v>75306.290000000008</c:v>
                </c:pt>
                <c:pt idx="10" formatCode="???,??0">
                  <c:v>80738.149999999994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6D-4EB6-95DD-24C9E029DBB3}"/>
            </c:ext>
          </c:extLst>
        </c:ser>
        <c:ser>
          <c:idx val="2"/>
          <c:order val="2"/>
          <c:tx>
            <c:strRef>
              <c:f>'wkg for UG Line'!$B$4</c:f>
              <c:strCache>
                <c:ptCount val="1"/>
                <c:pt idx="0">
                  <c:v>Design</c:v>
                </c:pt>
              </c:strCache>
            </c:strRef>
          </c:tx>
          <c:spPr>
            <a:ln w="28575" cap="rnd">
              <a:solidFill>
                <a:srgbClr val="8499A5"/>
              </a:solidFill>
              <a:round/>
            </a:ln>
            <a:effectLst/>
          </c:spPr>
          <c:marker>
            <c:symbol val="none"/>
          </c:marker>
          <c:cat>
            <c:strRef>
              <c:f>'wkg for UG Line'!$C$1:$M$1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UG Line'!$C$4:$M$4</c:f>
              <c:numCache>
                <c:formatCode>#,##0_);\(#,##0\)</c:formatCode>
                <c:ptCount val="11"/>
                <c:pt idx="0">
                  <c:v>33868</c:v>
                </c:pt>
                <c:pt idx="1">
                  <c:v>34943</c:v>
                </c:pt>
                <c:pt idx="2" formatCode="???,??0">
                  <c:v>34304</c:v>
                </c:pt>
                <c:pt idx="3" formatCode="???,??0">
                  <c:v>36700</c:v>
                </c:pt>
                <c:pt idx="4" formatCode="???,??0">
                  <c:v>37100</c:v>
                </c:pt>
                <c:pt idx="5" formatCode="???,??0">
                  <c:v>38341</c:v>
                </c:pt>
                <c:pt idx="6" formatCode="???,??0">
                  <c:v>37527</c:v>
                </c:pt>
                <c:pt idx="7" formatCode="???,??0">
                  <c:v>38237</c:v>
                </c:pt>
                <c:pt idx="8" formatCode="???,??0">
                  <c:v>38250.210000000006</c:v>
                </c:pt>
                <c:pt idx="9" formatCode="???,??0">
                  <c:v>39154.82</c:v>
                </c:pt>
                <c:pt idx="10" formatCode="???,??0">
                  <c:v>39447.339999999997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46D-4EB6-95DD-24C9E029DBB3}"/>
            </c:ext>
          </c:extLst>
        </c:ser>
        <c:ser>
          <c:idx val="3"/>
          <c:order val="3"/>
          <c:tx>
            <c:strRef>
              <c:f>'wkg for UG Line'!$B$5</c:f>
              <c:strCache>
                <c:ptCount val="1"/>
                <c:pt idx="0">
                  <c:v>Engineering</c:v>
                </c:pt>
              </c:strCache>
            </c:strRef>
          </c:tx>
          <c:spPr>
            <a:ln w="38100" cap="rnd">
              <a:solidFill>
                <a:srgbClr val="CE1126"/>
              </a:solidFill>
              <a:round/>
            </a:ln>
            <a:effectLst/>
          </c:spPr>
          <c:marker>
            <c:symbol val="none"/>
          </c:marker>
          <c:cat>
            <c:strRef>
              <c:f>'wkg for UG Line'!$C$1:$M$1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UG Line'!$C$5:$M$5</c:f>
              <c:numCache>
                <c:formatCode>#,##0_);\(#,##0\)</c:formatCode>
                <c:ptCount val="11"/>
                <c:pt idx="0">
                  <c:v>61948</c:v>
                </c:pt>
                <c:pt idx="1">
                  <c:v>62324</c:v>
                </c:pt>
                <c:pt idx="2" formatCode="???,??0">
                  <c:v>65639</c:v>
                </c:pt>
                <c:pt idx="3" formatCode="???,??0">
                  <c:v>70483</c:v>
                </c:pt>
                <c:pt idx="4" formatCode="???,??0">
                  <c:v>75584</c:v>
                </c:pt>
                <c:pt idx="5" formatCode="???,??0">
                  <c:v>83983</c:v>
                </c:pt>
                <c:pt idx="6" formatCode="???,??0">
                  <c:v>91384</c:v>
                </c:pt>
                <c:pt idx="7" formatCode="???,??0">
                  <c:v>97881</c:v>
                </c:pt>
                <c:pt idx="8" formatCode="???,??0">
                  <c:v>102114.42</c:v>
                </c:pt>
                <c:pt idx="9" formatCode="???,??0">
                  <c:v>109416.59</c:v>
                </c:pt>
                <c:pt idx="10" formatCode="???,??0">
                  <c:v>115228.603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46D-4EB6-95DD-24C9E029DBB3}"/>
            </c:ext>
          </c:extLst>
        </c:ser>
        <c:ser>
          <c:idx val="4"/>
          <c:order val="4"/>
          <c:tx>
            <c:strRef>
              <c:f>'wkg for UG Line'!$B$6</c:f>
              <c:strCache>
                <c:ptCount val="1"/>
                <c:pt idx="0">
                  <c:v>Human Sciences</c:v>
                </c:pt>
              </c:strCache>
            </c:strRef>
          </c:tx>
          <c:spPr>
            <a:ln w="38100" cap="rnd">
              <a:solidFill>
                <a:srgbClr val="3A75C4"/>
              </a:solidFill>
              <a:round/>
            </a:ln>
            <a:effectLst/>
          </c:spPr>
          <c:marker>
            <c:symbol val="none"/>
          </c:marker>
          <c:cat>
            <c:strRef>
              <c:f>'wkg for UG Line'!$C$1:$M$1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UG Line'!$C$6:$M$6</c:f>
              <c:numCache>
                <c:formatCode>#,##0_);\(#,##0\)</c:formatCode>
                <c:ptCount val="11"/>
                <c:pt idx="0">
                  <c:v>62661</c:v>
                </c:pt>
                <c:pt idx="1">
                  <c:v>63180</c:v>
                </c:pt>
                <c:pt idx="2" formatCode="???,??0">
                  <c:v>67074</c:v>
                </c:pt>
                <c:pt idx="3" formatCode="???,??0">
                  <c:v>72434</c:v>
                </c:pt>
                <c:pt idx="4" formatCode="???,??0">
                  <c:v>76540</c:v>
                </c:pt>
                <c:pt idx="5" formatCode="???,??0">
                  <c:v>82203</c:v>
                </c:pt>
                <c:pt idx="6" formatCode="???,??0">
                  <c:v>89364</c:v>
                </c:pt>
                <c:pt idx="7" formatCode="???,??0">
                  <c:v>96719</c:v>
                </c:pt>
                <c:pt idx="8" formatCode="???,??0">
                  <c:v>102030.75</c:v>
                </c:pt>
                <c:pt idx="9" formatCode="???,??0">
                  <c:v>104526.39</c:v>
                </c:pt>
                <c:pt idx="10" formatCode="???,??0">
                  <c:v>99360.868000000002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46D-4EB6-95DD-24C9E029D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815400"/>
        <c:axId val="532815008"/>
      </c:lineChart>
      <c:catAx>
        <c:axId val="53281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5008"/>
        <c:crosses val="autoZero"/>
        <c:auto val="1"/>
        <c:lblAlgn val="ctr"/>
        <c:lblOffset val="100"/>
        <c:noMultiLvlLbl val="0"/>
      </c:catAx>
      <c:valAx>
        <c:axId val="532815008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5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54685664291963"/>
          <c:y val="5.3601325894214936E-2"/>
          <c:w val="0.83468526434195722"/>
          <c:h val="0.88371282034507959"/>
        </c:manualLayout>
      </c:layout>
      <c:lineChart>
        <c:grouping val="standard"/>
        <c:varyColors val="0"/>
        <c:ser>
          <c:idx val="0"/>
          <c:order val="0"/>
          <c:tx>
            <c:strRef>
              <c:f>'wkg for UG Line'!$B$7</c:f>
              <c:strCache>
                <c:ptCount val="1"/>
                <c:pt idx="0">
                  <c:v>Liberal Arts and Sciences</c:v>
                </c:pt>
              </c:strCache>
            </c:strRef>
          </c:tx>
          <c:spPr>
            <a:ln w="38100" cap="rnd">
              <a:solidFill>
                <a:srgbClr val="F2BF49"/>
              </a:solidFill>
              <a:round/>
            </a:ln>
            <a:effectLst/>
          </c:spPr>
          <c:marker>
            <c:symbol val="none"/>
          </c:marker>
          <c:cat>
            <c:strRef>
              <c:f>'wkg for UG Line'!$C$1:$M$1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UG Line'!$C$7:$M$7</c:f>
              <c:numCache>
                <c:formatCode>#,##0_);\(#,##0\)</c:formatCode>
                <c:ptCount val="11"/>
                <c:pt idx="0">
                  <c:v>324982</c:v>
                </c:pt>
                <c:pt idx="1">
                  <c:v>333566</c:v>
                </c:pt>
                <c:pt idx="2" formatCode="???,??0">
                  <c:v>348309</c:v>
                </c:pt>
                <c:pt idx="3" formatCode="???,??0">
                  <c:v>355568</c:v>
                </c:pt>
                <c:pt idx="4" formatCode="???,??0">
                  <c:v>361966</c:v>
                </c:pt>
                <c:pt idx="5" formatCode="???,??0">
                  <c:v>379796</c:v>
                </c:pt>
                <c:pt idx="6" formatCode="???,??0">
                  <c:v>387040</c:v>
                </c:pt>
                <c:pt idx="7" formatCode="???,??0">
                  <c:v>416019</c:v>
                </c:pt>
                <c:pt idx="8" formatCode="???,??0">
                  <c:v>437142.53</c:v>
                </c:pt>
                <c:pt idx="9" formatCode="???,??0">
                  <c:v>445653.69</c:v>
                </c:pt>
                <c:pt idx="10" formatCode="???,??0">
                  <c:v>452950.69390000001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1A-4C5F-B53D-977FCB963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819320"/>
        <c:axId val="532813048"/>
      </c:lineChart>
      <c:catAx>
        <c:axId val="532819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D9D9D9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bg1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3048"/>
        <c:crosses val="autoZero"/>
        <c:auto val="1"/>
        <c:lblAlgn val="ctr"/>
        <c:lblOffset val="100"/>
        <c:noMultiLvlLbl val="0"/>
      </c:catAx>
      <c:valAx>
        <c:axId val="532813048"/>
        <c:scaling>
          <c:orientation val="minMax"/>
          <c:max val="460000"/>
          <c:min val="320000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9320"/>
        <c:crosses val="autoZero"/>
        <c:crossBetween val="between"/>
        <c:majorUnit val="2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'wkg for grad line'!$B$12</c:f>
              <c:strCache>
                <c:ptCount val="1"/>
                <c:pt idx="0">
                  <c:v>Agriculture and Life Sciences</c:v>
                </c:pt>
              </c:strCache>
            </c:strRef>
          </c:tx>
          <c:spPr>
            <a:ln w="38100" cap="rnd">
              <a:solidFill>
                <a:srgbClr val="076D54"/>
              </a:solidFill>
              <a:round/>
            </a:ln>
            <a:effectLst/>
          </c:spPr>
          <c:marker>
            <c:symbol val="none"/>
          </c:marker>
          <c:cat>
            <c:strRef>
              <c:f>'wkg for grad line'!$C$11:$M$11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grad line'!$C$12:$M$12</c:f>
              <c:numCache>
                <c:formatCode>#,##0_);\(#,##0\)</c:formatCode>
                <c:ptCount val="11"/>
                <c:pt idx="0">
                  <c:v>11189</c:v>
                </c:pt>
                <c:pt idx="1">
                  <c:v>11137</c:v>
                </c:pt>
                <c:pt idx="2" formatCode="???,??0">
                  <c:v>11432</c:v>
                </c:pt>
                <c:pt idx="3" formatCode="???,??0">
                  <c:v>11577</c:v>
                </c:pt>
                <c:pt idx="4" formatCode="???,??0">
                  <c:v>11272</c:v>
                </c:pt>
                <c:pt idx="5" formatCode="???,??0">
                  <c:v>9536</c:v>
                </c:pt>
                <c:pt idx="6" formatCode="???,??0">
                  <c:v>10222</c:v>
                </c:pt>
                <c:pt idx="7" formatCode="???,??0">
                  <c:v>10905</c:v>
                </c:pt>
                <c:pt idx="8" formatCode="???,??0">
                  <c:v>12642.43</c:v>
                </c:pt>
                <c:pt idx="9" formatCode="???,??0">
                  <c:v>12696.21</c:v>
                </c:pt>
                <c:pt idx="10" formatCode="???,??0">
                  <c:v>12162.2909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E3-4D35-92B6-27555DAE6B93}"/>
            </c:ext>
          </c:extLst>
        </c:ser>
        <c:ser>
          <c:idx val="1"/>
          <c:order val="1"/>
          <c:tx>
            <c:strRef>
              <c:f>'wkg for grad line'!$B$13</c:f>
              <c:strCache>
                <c:ptCount val="1"/>
                <c:pt idx="0">
                  <c:v>Business</c:v>
                </c:pt>
              </c:strCache>
            </c:strRef>
          </c:tx>
          <c:spPr>
            <a:ln w="38100" cap="rnd">
              <a:solidFill>
                <a:srgbClr val="C4B796"/>
              </a:solidFill>
              <a:round/>
            </a:ln>
            <a:effectLst/>
          </c:spPr>
          <c:marker>
            <c:symbol val="none"/>
          </c:marker>
          <c:cat>
            <c:strRef>
              <c:f>'wkg for grad line'!$C$11:$M$11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grad line'!$C$13:$M$13</c:f>
              <c:numCache>
                <c:formatCode>#,##0_);\(#,##0\)</c:formatCode>
                <c:ptCount val="11"/>
                <c:pt idx="0">
                  <c:v>3998</c:v>
                </c:pt>
                <c:pt idx="1">
                  <c:v>4324</c:v>
                </c:pt>
                <c:pt idx="2" formatCode="???,??0">
                  <c:v>4758</c:v>
                </c:pt>
                <c:pt idx="3" formatCode="???,??0">
                  <c:v>4896</c:v>
                </c:pt>
                <c:pt idx="4" formatCode="???,??0">
                  <c:v>4626</c:v>
                </c:pt>
                <c:pt idx="5" formatCode="???,??0">
                  <c:v>4483</c:v>
                </c:pt>
                <c:pt idx="6" formatCode="???,??0">
                  <c:v>3987</c:v>
                </c:pt>
                <c:pt idx="7" formatCode="???,??0">
                  <c:v>4173</c:v>
                </c:pt>
                <c:pt idx="8" formatCode="???,??0">
                  <c:v>4905.3999999999996</c:v>
                </c:pt>
                <c:pt idx="9" formatCode="???,??0">
                  <c:v>5767.24</c:v>
                </c:pt>
                <c:pt idx="10" formatCode="???,??0">
                  <c:v>5691.7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E3-4D35-92B6-27555DAE6B93}"/>
            </c:ext>
          </c:extLst>
        </c:ser>
        <c:ser>
          <c:idx val="2"/>
          <c:order val="2"/>
          <c:tx>
            <c:strRef>
              <c:f>'wkg for grad line'!$B$14</c:f>
              <c:strCache>
                <c:ptCount val="1"/>
                <c:pt idx="0">
                  <c:v>Design</c:v>
                </c:pt>
              </c:strCache>
            </c:strRef>
          </c:tx>
          <c:spPr>
            <a:ln w="38100" cap="rnd">
              <a:solidFill>
                <a:srgbClr val="8499A5"/>
              </a:solidFill>
              <a:round/>
            </a:ln>
            <a:effectLst/>
          </c:spPr>
          <c:marker>
            <c:symbol val="none"/>
          </c:marker>
          <c:cat>
            <c:strRef>
              <c:f>'wkg for grad line'!$C$11:$M$11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grad line'!$C$14:$M$14</c:f>
              <c:numCache>
                <c:formatCode>#,##0_);\(#,##0\)</c:formatCode>
                <c:ptCount val="11"/>
                <c:pt idx="0">
                  <c:v>3215</c:v>
                </c:pt>
                <c:pt idx="1">
                  <c:v>3666</c:v>
                </c:pt>
                <c:pt idx="2" formatCode="???,??0">
                  <c:v>3857</c:v>
                </c:pt>
                <c:pt idx="3" formatCode="???,??0">
                  <c:v>4183</c:v>
                </c:pt>
                <c:pt idx="4" formatCode="???,??0">
                  <c:v>5725</c:v>
                </c:pt>
                <c:pt idx="5" formatCode="???,??0">
                  <c:v>5565</c:v>
                </c:pt>
                <c:pt idx="6" formatCode="???,??0">
                  <c:v>6642</c:v>
                </c:pt>
                <c:pt idx="7" formatCode="???,??0">
                  <c:v>7204</c:v>
                </c:pt>
                <c:pt idx="8" formatCode="???,??0">
                  <c:v>6836.25</c:v>
                </c:pt>
                <c:pt idx="9" formatCode="???,??0">
                  <c:v>6667.25</c:v>
                </c:pt>
                <c:pt idx="10" formatCode="???,??0">
                  <c:v>6557.25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3E3-4D35-92B6-27555DAE6B93}"/>
            </c:ext>
          </c:extLst>
        </c:ser>
        <c:ser>
          <c:idx val="3"/>
          <c:order val="3"/>
          <c:tx>
            <c:strRef>
              <c:f>'wkg for grad line'!$B$15</c:f>
              <c:strCache>
                <c:ptCount val="1"/>
                <c:pt idx="0">
                  <c:v>Engineering</c:v>
                </c:pt>
              </c:strCache>
            </c:strRef>
          </c:tx>
          <c:spPr>
            <a:ln w="38100" cap="rnd">
              <a:solidFill>
                <a:srgbClr val="CE1126"/>
              </a:solidFill>
              <a:round/>
            </a:ln>
            <a:effectLst/>
          </c:spPr>
          <c:marker>
            <c:symbol val="none"/>
          </c:marker>
          <c:cat>
            <c:strRef>
              <c:f>'wkg for grad line'!$C$11:$M$11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grad line'!$C$15:$M$15</c:f>
              <c:numCache>
                <c:formatCode>#,##0_);\(#,##0\)</c:formatCode>
                <c:ptCount val="11"/>
                <c:pt idx="0">
                  <c:v>13834</c:v>
                </c:pt>
                <c:pt idx="1">
                  <c:v>14892</c:v>
                </c:pt>
                <c:pt idx="2" formatCode="???,??0">
                  <c:v>15230</c:v>
                </c:pt>
                <c:pt idx="3" formatCode="???,??0">
                  <c:v>17050</c:v>
                </c:pt>
                <c:pt idx="4" formatCode="???,??0">
                  <c:v>17181</c:v>
                </c:pt>
                <c:pt idx="5" formatCode="???,??0">
                  <c:v>15487</c:v>
                </c:pt>
                <c:pt idx="6" formatCode="???,??0">
                  <c:v>17484</c:v>
                </c:pt>
                <c:pt idx="7" formatCode="???,??0">
                  <c:v>18520</c:v>
                </c:pt>
                <c:pt idx="8" formatCode="???,??0">
                  <c:v>20741.120000000003</c:v>
                </c:pt>
                <c:pt idx="9" formatCode="???,??0">
                  <c:v>22006.550000000003</c:v>
                </c:pt>
                <c:pt idx="10" formatCode="???,??0">
                  <c:v>21877.035200000002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3E3-4D35-92B6-27555DAE6B93}"/>
            </c:ext>
          </c:extLst>
        </c:ser>
        <c:ser>
          <c:idx val="4"/>
          <c:order val="4"/>
          <c:tx>
            <c:strRef>
              <c:f>'wkg for grad line'!$B$16</c:f>
              <c:strCache>
                <c:ptCount val="1"/>
                <c:pt idx="0">
                  <c:v>Human Sciences</c:v>
                </c:pt>
              </c:strCache>
            </c:strRef>
          </c:tx>
          <c:spPr>
            <a:ln w="38100" cap="rnd">
              <a:solidFill>
                <a:srgbClr val="3A75C4"/>
              </a:solidFill>
              <a:round/>
            </a:ln>
            <a:effectLst/>
          </c:spPr>
          <c:marker>
            <c:symbol val="none"/>
          </c:marker>
          <c:cat>
            <c:strRef>
              <c:f>'wkg for grad line'!$C$11:$M$11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grad line'!$C$16:$M$16</c:f>
              <c:numCache>
                <c:formatCode>#,##0_);\(#,##0\)</c:formatCode>
                <c:ptCount val="11"/>
                <c:pt idx="0">
                  <c:v>8884</c:v>
                </c:pt>
                <c:pt idx="1">
                  <c:v>9951</c:v>
                </c:pt>
                <c:pt idx="2" formatCode="???,??0">
                  <c:v>11037</c:v>
                </c:pt>
                <c:pt idx="3" formatCode="???,??0">
                  <c:v>12626</c:v>
                </c:pt>
                <c:pt idx="4" formatCode="???,??0">
                  <c:v>13050</c:v>
                </c:pt>
                <c:pt idx="5" formatCode="???,??0">
                  <c:v>14374</c:v>
                </c:pt>
                <c:pt idx="6" formatCode="???,??0">
                  <c:v>14088</c:v>
                </c:pt>
                <c:pt idx="7" formatCode="???,??0">
                  <c:v>14170</c:v>
                </c:pt>
                <c:pt idx="8" formatCode="???,??0">
                  <c:v>14906.849999999999</c:v>
                </c:pt>
                <c:pt idx="9" formatCode="???,??0">
                  <c:v>14415.68</c:v>
                </c:pt>
                <c:pt idx="10" formatCode="???,??0">
                  <c:v>12814.149900000002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3E3-4D35-92B6-27555DAE6B93}"/>
            </c:ext>
          </c:extLst>
        </c:ser>
        <c:ser>
          <c:idx val="5"/>
          <c:order val="5"/>
          <c:tx>
            <c:strRef>
              <c:f>'wkg for grad line'!$B$17</c:f>
              <c:strCache>
                <c:ptCount val="1"/>
                <c:pt idx="0">
                  <c:v>Liberal Arts and Sciences</c:v>
                </c:pt>
              </c:strCache>
            </c:strRef>
          </c:tx>
          <c:spPr>
            <a:ln w="28575" cap="rnd">
              <a:solidFill>
                <a:srgbClr val="F2BF49"/>
              </a:solidFill>
              <a:round/>
            </a:ln>
            <a:effectLst/>
          </c:spPr>
          <c:marker>
            <c:symbol val="none"/>
          </c:marker>
          <c:cat>
            <c:strRef>
              <c:f>'wkg for grad line'!$C$11:$M$11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grad line'!$C$17:$M$17</c:f>
              <c:numCache>
                <c:formatCode>#,##0_);\(#,##0\)</c:formatCode>
                <c:ptCount val="11"/>
                <c:pt idx="0">
                  <c:v>24440</c:v>
                </c:pt>
                <c:pt idx="1">
                  <c:v>24967</c:v>
                </c:pt>
                <c:pt idx="2" formatCode="???,??0">
                  <c:v>24928</c:v>
                </c:pt>
                <c:pt idx="3" formatCode="???,??0">
                  <c:v>25421</c:v>
                </c:pt>
                <c:pt idx="4" formatCode="???,??0">
                  <c:v>25117</c:v>
                </c:pt>
                <c:pt idx="5" formatCode="???,??0">
                  <c:v>22729</c:v>
                </c:pt>
                <c:pt idx="6" formatCode="???,??0">
                  <c:v>22156</c:v>
                </c:pt>
                <c:pt idx="7" formatCode="???,??0">
                  <c:v>22000</c:v>
                </c:pt>
                <c:pt idx="8" formatCode="???,??0">
                  <c:v>22033.27</c:v>
                </c:pt>
                <c:pt idx="9" formatCode="???,??0">
                  <c:v>22910.29</c:v>
                </c:pt>
                <c:pt idx="10" formatCode="???,??0">
                  <c:v>22667.9879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3E3-4D35-92B6-27555DAE6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814224"/>
        <c:axId val="532813440"/>
      </c:lineChart>
      <c:catAx>
        <c:axId val="53281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3440"/>
        <c:crosses val="autoZero"/>
        <c:auto val="1"/>
        <c:lblAlgn val="ctr"/>
        <c:lblOffset val="100"/>
        <c:noMultiLvlLbl val="0"/>
      </c:catAx>
      <c:valAx>
        <c:axId val="532813440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4224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latin typeface="Univers 45 Light" pitchFamily="34" charset="0"/>
              </a:rPr>
              <a:t>Tota</a:t>
            </a:r>
            <a:r>
              <a:rPr lang="en-US" sz="1600" b="1" baseline="0">
                <a:latin typeface="Univers 45 Light" pitchFamily="34" charset="0"/>
              </a:rPr>
              <a:t>l Student Credit Hours by College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2016-2017</a:t>
            </a:r>
            <a:endParaRPr lang="en-US" sz="1600">
              <a:effectLst/>
            </a:endParaRPr>
          </a:p>
        </c:rich>
      </c:tx>
      <c:layout>
        <c:manualLayout>
          <c:xMode val="edge"/>
          <c:yMode val="edge"/>
          <c:x val="0.20294181977252843"/>
          <c:y val="2.48083790285227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22899209816325"/>
          <c:y val="0.24513797825922617"/>
          <c:w val="0.47012527560282102"/>
          <c:h val="0.57628689072419947"/>
        </c:manualLayout>
      </c:layout>
      <c:pieChart>
        <c:varyColors val="1"/>
        <c:ser>
          <c:idx val="0"/>
          <c:order val="0"/>
          <c:tx>
            <c:strRef>
              <c:f>'wkg for pie'!$B$4</c:f>
              <c:strCache>
                <c:ptCount val="1"/>
                <c:pt idx="0">
                  <c:v>FY2017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2BF49"/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980-4BBF-A5D9-F71E9F13D326}"/>
              </c:ext>
            </c:extLst>
          </c:dPt>
          <c:dPt>
            <c:idx val="1"/>
            <c:bubble3D val="0"/>
            <c:spPr>
              <a:solidFill>
                <a:srgbClr val="CE1126"/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980-4BBF-A5D9-F71E9F13D326}"/>
              </c:ext>
            </c:extLst>
          </c:dPt>
          <c:dPt>
            <c:idx val="2"/>
            <c:bubble3D val="0"/>
            <c:spPr>
              <a:solidFill>
                <a:srgbClr val="3A75C4"/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980-4BBF-A5D9-F71E9F13D326}"/>
              </c:ext>
            </c:extLst>
          </c:dPt>
          <c:dPt>
            <c:idx val="3"/>
            <c:bubble3D val="0"/>
            <c:spPr>
              <a:solidFill>
                <a:srgbClr val="076D54"/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980-4BBF-A5D9-F71E9F13D326}"/>
              </c:ext>
            </c:extLst>
          </c:dPt>
          <c:dPt>
            <c:idx val="4"/>
            <c:bubble3D val="0"/>
            <c:spPr>
              <a:solidFill>
                <a:srgbClr val="C4B796"/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980-4BBF-A5D9-F71E9F13D326}"/>
              </c:ext>
            </c:extLst>
          </c:dPt>
          <c:dPt>
            <c:idx val="5"/>
            <c:bubble3D val="0"/>
            <c:spPr>
              <a:solidFill>
                <a:srgbClr val="8499A5"/>
              </a:solidFill>
              <a:ln w="12700">
                <a:solidFill>
                  <a:schemeClr val="tx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980-4BBF-A5D9-F71E9F13D326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A980-4BBF-A5D9-F71E9F13D326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A980-4BBF-A5D9-F71E9F13D326}"/>
              </c:ext>
            </c:extLst>
          </c:dPt>
          <c:dLbls>
            <c:dLbl>
              <c:idx val="0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980-4BBF-A5D9-F71E9F13D32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A980-4BBF-A5D9-F71E9F13D326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8446573602483776E-2"/>
                  <c:y val="-2.480442589082091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A980-4BBF-A5D9-F71E9F13D32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Univers 45 Light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'wkg for pie'!$A$5:$A$12</c:f>
              <c:strCache>
                <c:ptCount val="8"/>
                <c:pt idx="0">
                  <c:v>LAS</c:v>
                </c:pt>
                <c:pt idx="1">
                  <c:v>ENGR</c:v>
                </c:pt>
                <c:pt idx="2">
                  <c:v>HS</c:v>
                </c:pt>
                <c:pt idx="3">
                  <c:v>CALS</c:v>
                </c:pt>
                <c:pt idx="4">
                  <c:v>BUS</c:v>
                </c:pt>
                <c:pt idx="5">
                  <c:v>DSN</c:v>
                </c:pt>
                <c:pt idx="6">
                  <c:v>VM</c:v>
                </c:pt>
                <c:pt idx="7">
                  <c:v>OTHER</c:v>
                </c:pt>
              </c:strCache>
            </c:strRef>
          </c:cat>
          <c:val>
            <c:numRef>
              <c:f>'wkg for pie'!$B$5:$B$12</c:f>
              <c:numCache>
                <c:formatCode>???,??0</c:formatCode>
                <c:ptCount val="8"/>
                <c:pt idx="0">
                  <c:v>475623</c:v>
                </c:pt>
                <c:pt idx="1">
                  <c:v>137123</c:v>
                </c:pt>
                <c:pt idx="2">
                  <c:v>112175</c:v>
                </c:pt>
                <c:pt idx="3">
                  <c:v>110962</c:v>
                </c:pt>
                <c:pt idx="4">
                  <c:v>86430</c:v>
                </c:pt>
                <c:pt idx="5">
                  <c:v>46005</c:v>
                </c:pt>
                <c:pt idx="6">
                  <c:v>27088</c:v>
                </c:pt>
                <c:pt idx="7">
                  <c:v>8733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980-4BBF-A5D9-F71E9F13D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54685664291963"/>
          <c:y val="2.6325024892675842E-2"/>
          <c:w val="0.83468526434195722"/>
          <c:h val="0.83645808755989448"/>
        </c:manualLayout>
      </c:layout>
      <c:lineChart>
        <c:grouping val="standard"/>
        <c:varyColors val="0"/>
        <c:ser>
          <c:idx val="0"/>
          <c:order val="0"/>
          <c:tx>
            <c:strRef>
              <c:f>'wkg for UG Line'!$B$2</c:f>
              <c:strCache>
                <c:ptCount val="1"/>
                <c:pt idx="0">
                  <c:v>Agriculture and Life Sciences</c:v>
                </c:pt>
              </c:strCache>
            </c:strRef>
          </c:tx>
          <c:spPr>
            <a:ln w="38100" cap="rnd">
              <a:solidFill>
                <a:srgbClr val="076D54"/>
              </a:solidFill>
              <a:round/>
            </a:ln>
            <a:effectLst/>
          </c:spPr>
          <c:marker>
            <c:symbol val="none"/>
          </c:marker>
          <c:cat>
            <c:strRef>
              <c:f>'wkg for UG Line'!$C$1:$M$1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UG Line'!$C$2:$M$2</c:f>
              <c:numCache>
                <c:formatCode>#,##0_);\(#,##0\)</c:formatCode>
                <c:ptCount val="11"/>
                <c:pt idx="0">
                  <c:v>45551</c:v>
                </c:pt>
                <c:pt idx="1">
                  <c:v>50358</c:v>
                </c:pt>
                <c:pt idx="2" formatCode="???,??0">
                  <c:v>54126</c:v>
                </c:pt>
                <c:pt idx="3" formatCode="???,??0">
                  <c:v>62143</c:v>
                </c:pt>
                <c:pt idx="4" formatCode="???,??0">
                  <c:v>64722</c:v>
                </c:pt>
                <c:pt idx="5" formatCode="???,??0">
                  <c:v>69169</c:v>
                </c:pt>
                <c:pt idx="6" formatCode="???,??0">
                  <c:v>78068</c:v>
                </c:pt>
                <c:pt idx="7" formatCode="???,??0">
                  <c:v>82008</c:v>
                </c:pt>
                <c:pt idx="8" formatCode="???,??0">
                  <c:v>96557.959999999992</c:v>
                </c:pt>
                <c:pt idx="9" formatCode="???,??0">
                  <c:v>98944.95</c:v>
                </c:pt>
                <c:pt idx="10" formatCode="???,??0">
                  <c:v>98751.122700000007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BA-4CD5-81FE-23344635331F}"/>
            </c:ext>
          </c:extLst>
        </c:ser>
        <c:ser>
          <c:idx val="1"/>
          <c:order val="1"/>
          <c:tx>
            <c:strRef>
              <c:f>'wkg for UG Line'!$B$3</c:f>
              <c:strCache>
                <c:ptCount val="1"/>
                <c:pt idx="0">
                  <c:v>Business</c:v>
                </c:pt>
              </c:strCache>
            </c:strRef>
          </c:tx>
          <c:spPr>
            <a:ln w="38100" cap="rnd">
              <a:solidFill>
                <a:srgbClr val="C4B796"/>
              </a:solidFill>
              <a:round/>
            </a:ln>
            <a:effectLst/>
          </c:spPr>
          <c:marker>
            <c:symbol val="none"/>
          </c:marker>
          <c:cat>
            <c:strRef>
              <c:f>'wkg for UG Line'!$C$1:$M$1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UG Line'!$C$3:$M$3</c:f>
              <c:numCache>
                <c:formatCode>#,##0_);\(#,##0\)</c:formatCode>
                <c:ptCount val="11"/>
                <c:pt idx="0">
                  <c:v>55410</c:v>
                </c:pt>
                <c:pt idx="1">
                  <c:v>55553</c:v>
                </c:pt>
                <c:pt idx="2" formatCode="???,??0">
                  <c:v>55849</c:v>
                </c:pt>
                <c:pt idx="3" formatCode="???,??0">
                  <c:v>58234</c:v>
                </c:pt>
                <c:pt idx="4" formatCode="???,??0">
                  <c:v>55747</c:v>
                </c:pt>
                <c:pt idx="5" formatCode="???,??0">
                  <c:v>59198</c:v>
                </c:pt>
                <c:pt idx="6" formatCode="???,??0">
                  <c:v>62513</c:v>
                </c:pt>
                <c:pt idx="7" formatCode="???,??0">
                  <c:v>66699</c:v>
                </c:pt>
                <c:pt idx="8" formatCode="???,??0">
                  <c:v>68837.399999999994</c:v>
                </c:pt>
                <c:pt idx="9" formatCode="???,??0">
                  <c:v>75306.290000000008</c:v>
                </c:pt>
                <c:pt idx="10" formatCode="???,??0">
                  <c:v>80738.149999999994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BA-4CD5-81FE-23344635331F}"/>
            </c:ext>
          </c:extLst>
        </c:ser>
        <c:ser>
          <c:idx val="2"/>
          <c:order val="2"/>
          <c:tx>
            <c:strRef>
              <c:f>'wkg for UG Line'!$B$4</c:f>
              <c:strCache>
                <c:ptCount val="1"/>
                <c:pt idx="0">
                  <c:v>Design</c:v>
                </c:pt>
              </c:strCache>
            </c:strRef>
          </c:tx>
          <c:spPr>
            <a:ln w="28575" cap="rnd">
              <a:solidFill>
                <a:srgbClr val="8499A5"/>
              </a:solidFill>
              <a:round/>
            </a:ln>
            <a:effectLst/>
          </c:spPr>
          <c:marker>
            <c:symbol val="none"/>
          </c:marker>
          <c:cat>
            <c:strRef>
              <c:f>'wkg for UG Line'!$C$1:$M$1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UG Line'!$C$4:$M$4</c:f>
              <c:numCache>
                <c:formatCode>#,##0_);\(#,##0\)</c:formatCode>
                <c:ptCount val="11"/>
                <c:pt idx="0">
                  <c:v>33868</c:v>
                </c:pt>
                <c:pt idx="1">
                  <c:v>34943</c:v>
                </c:pt>
                <c:pt idx="2" formatCode="???,??0">
                  <c:v>34304</c:v>
                </c:pt>
                <c:pt idx="3" formatCode="???,??0">
                  <c:v>36700</c:v>
                </c:pt>
                <c:pt idx="4" formatCode="???,??0">
                  <c:v>37100</c:v>
                </c:pt>
                <c:pt idx="5" formatCode="???,??0">
                  <c:v>38341</c:v>
                </c:pt>
                <c:pt idx="6" formatCode="???,??0">
                  <c:v>37527</c:v>
                </c:pt>
                <c:pt idx="7" formatCode="???,??0">
                  <c:v>38237</c:v>
                </c:pt>
                <c:pt idx="8" formatCode="???,??0">
                  <c:v>38250.210000000006</c:v>
                </c:pt>
                <c:pt idx="9" formatCode="???,??0">
                  <c:v>39154.82</c:v>
                </c:pt>
                <c:pt idx="10" formatCode="???,??0">
                  <c:v>39447.339999999997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3BA-4CD5-81FE-23344635331F}"/>
            </c:ext>
          </c:extLst>
        </c:ser>
        <c:ser>
          <c:idx val="3"/>
          <c:order val="3"/>
          <c:tx>
            <c:strRef>
              <c:f>'wkg for UG Line'!$B$5</c:f>
              <c:strCache>
                <c:ptCount val="1"/>
                <c:pt idx="0">
                  <c:v>Engineering</c:v>
                </c:pt>
              </c:strCache>
            </c:strRef>
          </c:tx>
          <c:spPr>
            <a:ln w="38100" cap="rnd">
              <a:solidFill>
                <a:srgbClr val="CE1126"/>
              </a:solidFill>
              <a:round/>
            </a:ln>
            <a:effectLst/>
          </c:spPr>
          <c:marker>
            <c:symbol val="none"/>
          </c:marker>
          <c:cat>
            <c:strRef>
              <c:f>'wkg for UG Line'!$C$1:$M$1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UG Line'!$C$5:$M$5</c:f>
              <c:numCache>
                <c:formatCode>#,##0_);\(#,##0\)</c:formatCode>
                <c:ptCount val="11"/>
                <c:pt idx="0">
                  <c:v>61948</c:v>
                </c:pt>
                <c:pt idx="1">
                  <c:v>62324</c:v>
                </c:pt>
                <c:pt idx="2" formatCode="???,??0">
                  <c:v>65639</c:v>
                </c:pt>
                <c:pt idx="3" formatCode="???,??0">
                  <c:v>70483</c:v>
                </c:pt>
                <c:pt idx="4" formatCode="???,??0">
                  <c:v>75584</c:v>
                </c:pt>
                <c:pt idx="5" formatCode="???,??0">
                  <c:v>83983</c:v>
                </c:pt>
                <c:pt idx="6" formatCode="???,??0">
                  <c:v>91384</c:v>
                </c:pt>
                <c:pt idx="7" formatCode="???,??0">
                  <c:v>97881</c:v>
                </c:pt>
                <c:pt idx="8" formatCode="???,??0">
                  <c:v>102114.42</c:v>
                </c:pt>
                <c:pt idx="9" formatCode="???,??0">
                  <c:v>109416.59</c:v>
                </c:pt>
                <c:pt idx="10" formatCode="???,??0">
                  <c:v>115228.603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3BA-4CD5-81FE-23344635331F}"/>
            </c:ext>
          </c:extLst>
        </c:ser>
        <c:ser>
          <c:idx val="4"/>
          <c:order val="4"/>
          <c:tx>
            <c:strRef>
              <c:f>'wkg for UG Line'!$B$6</c:f>
              <c:strCache>
                <c:ptCount val="1"/>
                <c:pt idx="0">
                  <c:v>Human Sciences</c:v>
                </c:pt>
              </c:strCache>
            </c:strRef>
          </c:tx>
          <c:spPr>
            <a:ln w="38100" cap="rnd">
              <a:solidFill>
                <a:srgbClr val="3A75C4"/>
              </a:solidFill>
              <a:round/>
            </a:ln>
            <a:effectLst/>
          </c:spPr>
          <c:marker>
            <c:symbol val="none"/>
          </c:marker>
          <c:cat>
            <c:strRef>
              <c:f>'wkg for UG Line'!$C$1:$M$1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UG Line'!$C$6:$M$6</c:f>
              <c:numCache>
                <c:formatCode>#,##0_);\(#,##0\)</c:formatCode>
                <c:ptCount val="11"/>
                <c:pt idx="0">
                  <c:v>62661</c:v>
                </c:pt>
                <c:pt idx="1">
                  <c:v>63180</c:v>
                </c:pt>
                <c:pt idx="2" formatCode="???,??0">
                  <c:v>67074</c:v>
                </c:pt>
                <c:pt idx="3" formatCode="???,??0">
                  <c:v>72434</c:v>
                </c:pt>
                <c:pt idx="4" formatCode="???,??0">
                  <c:v>76540</c:v>
                </c:pt>
                <c:pt idx="5" formatCode="???,??0">
                  <c:v>82203</c:v>
                </c:pt>
                <c:pt idx="6" formatCode="???,??0">
                  <c:v>89364</c:v>
                </c:pt>
                <c:pt idx="7" formatCode="???,??0">
                  <c:v>96719</c:v>
                </c:pt>
                <c:pt idx="8" formatCode="???,??0">
                  <c:v>102030.75</c:v>
                </c:pt>
                <c:pt idx="9" formatCode="???,??0">
                  <c:v>104526.39</c:v>
                </c:pt>
                <c:pt idx="10" formatCode="???,??0">
                  <c:v>99360.868000000002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3BA-4CD5-81FE-233446353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812656"/>
        <c:axId val="532812264"/>
      </c:lineChart>
      <c:catAx>
        <c:axId val="53281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2264"/>
        <c:crosses val="autoZero"/>
        <c:auto val="1"/>
        <c:lblAlgn val="ctr"/>
        <c:lblOffset val="100"/>
        <c:noMultiLvlLbl val="0"/>
      </c:catAx>
      <c:valAx>
        <c:axId val="532812264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2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54685664291963"/>
          <c:y val="5.3601325894214936E-2"/>
          <c:w val="0.83468526434195722"/>
          <c:h val="0.88371282034507959"/>
        </c:manualLayout>
      </c:layout>
      <c:lineChart>
        <c:grouping val="standard"/>
        <c:varyColors val="0"/>
        <c:ser>
          <c:idx val="0"/>
          <c:order val="0"/>
          <c:tx>
            <c:strRef>
              <c:f>'wkg for UG Line'!$B$7</c:f>
              <c:strCache>
                <c:ptCount val="1"/>
                <c:pt idx="0">
                  <c:v>Liberal Arts and Sciences</c:v>
                </c:pt>
              </c:strCache>
            </c:strRef>
          </c:tx>
          <c:spPr>
            <a:ln w="38100" cap="rnd">
              <a:solidFill>
                <a:srgbClr val="F2BF49"/>
              </a:solidFill>
              <a:round/>
            </a:ln>
            <a:effectLst/>
          </c:spPr>
          <c:marker>
            <c:symbol val="none"/>
          </c:marker>
          <c:cat>
            <c:strRef>
              <c:f>'wkg for UG Line'!$C$1:$M$1</c:f>
              <c:strCache>
                <c:ptCount val="11"/>
                <c:pt idx="0">
                  <c:v>FY2007</c:v>
                </c:pt>
                <c:pt idx="1">
                  <c:v>FY2008</c:v>
                </c:pt>
                <c:pt idx="2">
                  <c:v>FY2009</c:v>
                </c:pt>
                <c:pt idx="3">
                  <c:v>FY2010</c:v>
                </c:pt>
                <c:pt idx="4">
                  <c:v>FY2011</c:v>
                </c:pt>
                <c:pt idx="5">
                  <c:v>FY2012</c:v>
                </c:pt>
                <c:pt idx="6">
                  <c:v>FY2013</c:v>
                </c:pt>
                <c:pt idx="7">
                  <c:v>FY2014</c:v>
                </c:pt>
                <c:pt idx="8">
                  <c:v>FY2015</c:v>
                </c:pt>
                <c:pt idx="9">
                  <c:v>FY2016</c:v>
                </c:pt>
                <c:pt idx="10">
                  <c:v>FY2017</c:v>
                </c:pt>
              </c:strCache>
            </c:strRef>
          </c:cat>
          <c:val>
            <c:numRef>
              <c:f>'wkg for UG Line'!$C$7:$M$7</c:f>
              <c:numCache>
                <c:formatCode>#,##0_);\(#,##0\)</c:formatCode>
                <c:ptCount val="11"/>
                <c:pt idx="0">
                  <c:v>324982</c:v>
                </c:pt>
                <c:pt idx="1">
                  <c:v>333566</c:v>
                </c:pt>
                <c:pt idx="2" formatCode="???,??0">
                  <c:v>348309</c:v>
                </c:pt>
                <c:pt idx="3" formatCode="???,??0">
                  <c:v>355568</c:v>
                </c:pt>
                <c:pt idx="4" formatCode="???,??0">
                  <c:v>361966</c:v>
                </c:pt>
                <c:pt idx="5" formatCode="???,??0">
                  <c:v>379796</c:v>
                </c:pt>
                <c:pt idx="6" formatCode="???,??0">
                  <c:v>387040</c:v>
                </c:pt>
                <c:pt idx="7" formatCode="???,??0">
                  <c:v>416019</c:v>
                </c:pt>
                <c:pt idx="8" formatCode="???,??0">
                  <c:v>437142.53</c:v>
                </c:pt>
                <c:pt idx="9" formatCode="???,??0">
                  <c:v>445653.69</c:v>
                </c:pt>
                <c:pt idx="10" formatCode="???,??0">
                  <c:v>452950.69390000001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28-46F3-A726-E4F282590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816184"/>
        <c:axId val="172595496"/>
      </c:lineChart>
      <c:catAx>
        <c:axId val="53281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D9D9D9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bg1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172595496"/>
        <c:crosses val="autoZero"/>
        <c:auto val="1"/>
        <c:lblAlgn val="ctr"/>
        <c:lblOffset val="100"/>
        <c:noMultiLvlLbl val="0"/>
      </c:catAx>
      <c:valAx>
        <c:axId val="172595496"/>
        <c:scaling>
          <c:orientation val="minMax"/>
          <c:max val="460000"/>
          <c:min val="320000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6184"/>
        <c:crosses val="autoZero"/>
        <c:crossBetween val="between"/>
        <c:majorUnit val="2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171450</xdr:colOff>
      <xdr:row>31</xdr:row>
      <xdr:rowOff>114300</xdr:rowOff>
    </xdr:from>
    <xdr:to>
      <xdr:col>38</xdr:col>
      <xdr:colOff>123825</xdr:colOff>
      <xdr:row>73</xdr:row>
      <xdr:rowOff>142875</xdr:rowOff>
    </xdr:to>
    <xdr:grpSp>
      <xdr:nvGrpSpPr>
        <xdr:cNvPr id="12" name="Group 11"/>
        <xdr:cNvGrpSpPr/>
      </xdr:nvGrpSpPr>
      <xdr:grpSpPr>
        <a:xfrm>
          <a:off x="9895609" y="3855027"/>
          <a:ext cx="3000375" cy="5423189"/>
          <a:chOff x="9610725" y="3886200"/>
          <a:chExt cx="3000375" cy="5210175"/>
        </a:xfrm>
      </xdr:grpSpPr>
      <xdr:graphicFrame macro="">
        <xdr:nvGraphicFramePr>
          <xdr:cNvPr id="1929" name="Chart 16"/>
          <xdr:cNvGraphicFramePr>
            <a:graphicFrameLocks/>
          </xdr:cNvGraphicFramePr>
        </xdr:nvGraphicFramePr>
        <xdr:xfrm>
          <a:off x="9610725" y="3886200"/>
          <a:ext cx="3000375" cy="52101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4" name="TextBox 23"/>
          <xdr:cNvSpPr txBox="1"/>
        </xdr:nvSpPr>
        <xdr:spPr>
          <a:xfrm>
            <a:off x="9787597" y="3936378"/>
            <a:ext cx="2711327" cy="33785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 rtl="0"/>
            <a:r>
              <a:rPr lang="en-US" sz="1400" b="1" i="0" baseline="0">
                <a:solidFill>
                  <a:sysClr val="windowText" lastClr="000000"/>
                </a:solidFill>
                <a:effectLst/>
                <a:latin typeface="Univers 45 Light" pitchFamily="34" charset="0"/>
                <a:ea typeface="+mn-ea"/>
                <a:cs typeface="+mn-cs"/>
              </a:rPr>
              <a:t>Total Graduate SCH</a:t>
            </a:r>
            <a:endParaRPr lang="en-US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0</xdr:row>
      <xdr:rowOff>0</xdr:rowOff>
    </xdr:to>
    <xdr:sp macro="" textlink="">
      <xdr:nvSpPr>
        <xdr:cNvPr id="1030" name="Text 6"/>
        <xdr:cNvSpPr txBox="1">
          <a:spLocks noChangeArrowheads="1"/>
        </xdr:cNvSpPr>
      </xdr:nvSpPr>
      <xdr:spPr bwMode="auto">
        <a:xfrm>
          <a:off x="0" y="0"/>
          <a:ext cx="10763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0</xdr:col>
      <xdr:colOff>9524</xdr:colOff>
      <xdr:row>0</xdr:row>
      <xdr:rowOff>47625</xdr:rowOff>
    </xdr:from>
    <xdr:to>
      <xdr:col>29</xdr:col>
      <xdr:colOff>55418</xdr:colOff>
      <xdr:row>0</xdr:row>
      <xdr:rowOff>159327</xdr:rowOff>
    </xdr:to>
    <xdr:grpSp>
      <xdr:nvGrpSpPr>
        <xdr:cNvPr id="1925" name="Group 9"/>
        <xdr:cNvGrpSpPr>
          <a:grpSpLocks/>
        </xdr:cNvGrpSpPr>
      </xdr:nvGrpSpPr>
      <xdr:grpSpPr bwMode="auto">
        <a:xfrm>
          <a:off x="9524" y="47625"/>
          <a:ext cx="6470939" cy="111702"/>
          <a:chOff x="9525" y="44450"/>
          <a:chExt cx="6530975" cy="107950"/>
        </a:xfrm>
      </xdr:grpSpPr>
      <xdr:pic>
        <xdr:nvPicPr>
          <xdr:cNvPr id="1945" name="Picture 18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099" y="44450"/>
            <a:ext cx="918931" cy="791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4" name="Line 19"/>
          <xdr:cNvSpPr>
            <a:spLocks noChangeAspect="1" noChangeShapeType="1"/>
          </xdr:cNvSpPr>
        </xdr:nvSpPr>
        <xdr:spPr bwMode="auto">
          <a:xfrm>
            <a:off x="9525" y="152400"/>
            <a:ext cx="6530975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ffectLst>
            <a:outerShdw blurRad="50800" dist="50800" dir="5400000" algn="ctr" rotWithShape="0">
              <a:schemeClr val="bg1"/>
            </a:outerShdw>
          </a:effectLst>
        </xdr:spPr>
        <xdr:txBody>
          <a:bodyPr/>
          <a:lstStyle/>
          <a:p>
            <a:endParaRPr lang="en-US"/>
          </a:p>
        </xdr:txBody>
      </xdr:sp>
    </xdr:grpSp>
    <xdr:clientData/>
  </xdr:twoCellAnchor>
  <xdr:twoCellAnchor>
    <xdr:from>
      <xdr:col>29</xdr:col>
      <xdr:colOff>9525</xdr:colOff>
      <xdr:row>0</xdr:row>
      <xdr:rowOff>47625</xdr:rowOff>
    </xdr:from>
    <xdr:to>
      <xdr:col>37</xdr:col>
      <xdr:colOff>742950</xdr:colOff>
      <xdr:row>0</xdr:row>
      <xdr:rowOff>152400</xdr:rowOff>
    </xdr:to>
    <xdr:grpSp>
      <xdr:nvGrpSpPr>
        <xdr:cNvPr id="1926" name="Group 1"/>
        <xdr:cNvGrpSpPr>
          <a:grpSpLocks/>
        </xdr:cNvGrpSpPr>
      </xdr:nvGrpSpPr>
      <xdr:grpSpPr bwMode="auto">
        <a:xfrm>
          <a:off x="6434570" y="47625"/>
          <a:ext cx="6318539" cy="104775"/>
          <a:chOff x="6413256" y="51289"/>
          <a:chExt cx="6057168" cy="105593"/>
        </a:xfrm>
      </xdr:grpSpPr>
      <xdr:sp macro="" textlink="">
        <xdr:nvSpPr>
          <xdr:cNvPr id="11" name="Line 19"/>
          <xdr:cNvSpPr>
            <a:spLocks noChangeAspect="1" noChangeShapeType="1"/>
          </xdr:cNvSpPr>
        </xdr:nvSpPr>
        <xdr:spPr bwMode="auto">
          <a:xfrm>
            <a:off x="6413256" y="156882"/>
            <a:ext cx="605716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ffectLst>
            <a:outerShdw blurRad="50800" dist="50800" dir="5400000" algn="ctr" rotWithShape="0">
              <a:schemeClr val="bg1"/>
            </a:outerShdw>
          </a:effectLst>
        </xdr:spPr>
        <xdr:txBody>
          <a:bodyPr/>
          <a:lstStyle/>
          <a:p>
            <a:endParaRPr lang="en-US"/>
          </a:p>
        </xdr:txBody>
      </xdr:sp>
      <xdr:pic>
        <xdr:nvPicPr>
          <xdr:cNvPr id="1944" name="Picture 18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34012" y="51289"/>
            <a:ext cx="899687" cy="768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29</xdr:col>
      <xdr:colOff>257175</xdr:colOff>
      <xdr:row>4</xdr:row>
      <xdr:rowOff>19050</xdr:rowOff>
    </xdr:from>
    <xdr:to>
      <xdr:col>37</xdr:col>
      <xdr:colOff>495300</xdr:colOff>
      <xdr:row>30</xdr:row>
      <xdr:rowOff>19050</xdr:rowOff>
    </xdr:to>
    <xdr:graphicFrame macro="">
      <xdr:nvGraphicFramePr>
        <xdr:cNvPr id="192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96382</xdr:colOff>
      <xdr:row>37</xdr:row>
      <xdr:rowOff>27709</xdr:rowOff>
    </xdr:from>
    <xdr:to>
      <xdr:col>34</xdr:col>
      <xdr:colOff>60946</xdr:colOff>
      <xdr:row>78</xdr:row>
      <xdr:rowOff>80196</xdr:rowOff>
    </xdr:to>
    <xdr:grpSp>
      <xdr:nvGrpSpPr>
        <xdr:cNvPr id="15" name="Group 14"/>
        <xdr:cNvGrpSpPr/>
      </xdr:nvGrpSpPr>
      <xdr:grpSpPr>
        <a:xfrm>
          <a:off x="6521427" y="3898323"/>
          <a:ext cx="3263678" cy="6148487"/>
          <a:chOff x="1480649" y="3614121"/>
          <a:chExt cx="3000375" cy="5916744"/>
        </a:xfrm>
      </xdr:grpSpPr>
      <xdr:graphicFrame macro="">
        <xdr:nvGraphicFramePr>
          <xdr:cNvPr id="1928" name="Chart 14"/>
          <xdr:cNvGraphicFramePr>
            <a:graphicFrameLocks/>
          </xdr:cNvGraphicFramePr>
        </xdr:nvGraphicFramePr>
        <xdr:xfrm>
          <a:off x="1480649" y="4073041"/>
          <a:ext cx="3000375" cy="54578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3" name="TextBox 2"/>
          <xdr:cNvSpPr txBox="1"/>
        </xdr:nvSpPr>
        <xdr:spPr>
          <a:xfrm>
            <a:off x="1481186" y="3614121"/>
            <a:ext cx="2988689" cy="55882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 rtl="0"/>
            <a:r>
              <a:rPr lang="en-US" sz="1400" b="1" i="0" baseline="0">
                <a:solidFill>
                  <a:sysClr val="windowText" lastClr="000000"/>
                </a:solidFill>
                <a:effectLst/>
                <a:latin typeface="Univers 45 Light" pitchFamily="34" charset="0"/>
                <a:ea typeface="+mn-ea"/>
                <a:cs typeface="+mn-cs"/>
              </a:rPr>
              <a:t>Total Undergraduate SCH</a:t>
            </a:r>
            <a:endParaRPr lang="en-US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38</xdr:col>
      <xdr:colOff>0</xdr:colOff>
      <xdr:row>0</xdr:row>
      <xdr:rowOff>47625</xdr:rowOff>
    </xdr:from>
    <xdr:to>
      <xdr:col>45</xdr:col>
      <xdr:colOff>723900</xdr:colOff>
      <xdr:row>0</xdr:row>
      <xdr:rowOff>152400</xdr:rowOff>
    </xdr:to>
    <xdr:grpSp>
      <xdr:nvGrpSpPr>
        <xdr:cNvPr id="1931" name="Group 1"/>
        <xdr:cNvGrpSpPr>
          <a:grpSpLocks/>
        </xdr:cNvGrpSpPr>
      </xdr:nvGrpSpPr>
      <xdr:grpSpPr bwMode="auto">
        <a:xfrm>
          <a:off x="12772159" y="47625"/>
          <a:ext cx="6057900" cy="104775"/>
          <a:chOff x="6413256" y="51289"/>
          <a:chExt cx="6057168" cy="105593"/>
        </a:xfrm>
      </xdr:grpSpPr>
      <xdr:sp macro="" textlink="">
        <xdr:nvSpPr>
          <xdr:cNvPr id="17" name="Line 19"/>
          <xdr:cNvSpPr>
            <a:spLocks noChangeAspect="1" noChangeShapeType="1"/>
          </xdr:cNvSpPr>
        </xdr:nvSpPr>
        <xdr:spPr bwMode="auto">
          <a:xfrm>
            <a:off x="6413256" y="156882"/>
            <a:ext cx="605716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ffectLst>
            <a:outerShdw blurRad="50800" dist="50800" dir="5400000" algn="ctr" rotWithShape="0">
              <a:schemeClr val="bg1"/>
            </a:outerShdw>
          </a:effectLst>
        </xdr:spPr>
        <xdr:txBody>
          <a:bodyPr/>
          <a:lstStyle/>
          <a:p>
            <a:endParaRPr lang="en-US"/>
          </a:p>
        </xdr:txBody>
      </xdr:sp>
      <xdr:pic>
        <xdr:nvPicPr>
          <xdr:cNvPr id="1942" name="Picture 18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51686" y="51289"/>
            <a:ext cx="899687" cy="768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38</xdr:col>
      <xdr:colOff>581025</xdr:colOff>
      <xdr:row>6</xdr:row>
      <xdr:rowOff>38101</xdr:rowOff>
    </xdr:from>
    <xdr:to>
      <xdr:col>45</xdr:col>
      <xdr:colOff>57150</xdr:colOff>
      <xdr:row>50</xdr:row>
      <xdr:rowOff>85722</xdr:rowOff>
    </xdr:to>
    <xdr:grpSp>
      <xdr:nvGrpSpPr>
        <xdr:cNvPr id="1932" name="Group 18"/>
        <xdr:cNvGrpSpPr>
          <a:grpSpLocks/>
        </xdr:cNvGrpSpPr>
      </xdr:nvGrpSpPr>
      <xdr:grpSpPr bwMode="auto">
        <a:xfrm>
          <a:off x="13353184" y="1025237"/>
          <a:ext cx="4810125" cy="4758167"/>
          <a:chOff x="733029" y="3377802"/>
          <a:chExt cx="5010550" cy="5454243"/>
        </a:xfrm>
      </xdr:grpSpPr>
      <xdr:graphicFrame macro="">
        <xdr:nvGraphicFramePr>
          <xdr:cNvPr id="1938" name="Chart 1"/>
          <xdr:cNvGraphicFramePr>
            <a:graphicFrameLocks/>
          </xdr:cNvGraphicFramePr>
        </xdr:nvGraphicFramePr>
        <xdr:xfrm>
          <a:off x="733029" y="6258908"/>
          <a:ext cx="5000628" cy="25731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939" name="Chart 1"/>
          <xdr:cNvGraphicFramePr>
            <a:graphicFrameLocks/>
          </xdr:cNvGraphicFramePr>
        </xdr:nvGraphicFramePr>
        <xdr:xfrm>
          <a:off x="742951" y="3377802"/>
          <a:ext cx="5000628" cy="292774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22" name="TextBox 21"/>
          <xdr:cNvSpPr txBox="1"/>
        </xdr:nvSpPr>
        <xdr:spPr>
          <a:xfrm>
            <a:off x="1054546" y="6078134"/>
            <a:ext cx="754063" cy="24035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600" b="1">
                <a:latin typeface="Univers 45 Light" pitchFamily="34" charset="0"/>
              </a:rPr>
              <a:t>~ ~ ~ ~</a:t>
            </a:r>
          </a:p>
        </xdr:txBody>
      </xdr:sp>
    </xdr:grpSp>
    <xdr:clientData fLocksWithSheet="0"/>
  </xdr:twoCellAnchor>
  <xdr:oneCellAnchor>
    <xdr:from>
      <xdr:col>38</xdr:col>
      <xdr:colOff>174527</xdr:colOff>
      <xdr:row>4</xdr:row>
      <xdr:rowOff>109171</xdr:rowOff>
    </xdr:from>
    <xdr:ext cx="6091169" cy="797989"/>
    <xdr:sp macro="" textlink="">
      <xdr:nvSpPr>
        <xdr:cNvPr id="23" name="TextBox 22"/>
        <xdr:cNvSpPr txBox="1"/>
      </xdr:nvSpPr>
      <xdr:spPr>
        <a:xfrm>
          <a:off x="12661802" y="718771"/>
          <a:ext cx="6091169" cy="797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 rtl="0"/>
          <a:r>
            <a:rPr lang="en-US" sz="1400" b="1" i="0" baseline="0">
              <a:solidFill>
                <a:sysClr val="windowText" lastClr="000000"/>
              </a:solidFill>
              <a:effectLst/>
              <a:latin typeface="Univers 45 Light" pitchFamily="34" charset="0"/>
              <a:ea typeface="+mn-ea"/>
              <a:cs typeface="+mn-cs"/>
            </a:rPr>
            <a:t>Undergraduate SCH by College</a:t>
          </a:r>
          <a:endParaRPr lang="en-US" sz="1400">
            <a:solidFill>
              <a:sysClr val="windowText" lastClr="000000"/>
            </a:solidFill>
            <a:effectLst/>
            <a:latin typeface="Univers 45 Light" pitchFamily="34" charset="0"/>
          </a:endParaRPr>
        </a:p>
      </xdr:txBody>
    </xdr:sp>
    <xdr:clientData/>
  </xdr:oneCellAnchor>
  <xdr:twoCellAnchor>
    <xdr:from>
      <xdr:col>38</xdr:col>
      <xdr:colOff>29600</xdr:colOff>
      <xdr:row>54</xdr:row>
      <xdr:rowOff>93492</xdr:rowOff>
    </xdr:from>
    <xdr:to>
      <xdr:col>45</xdr:col>
      <xdr:colOff>742614</xdr:colOff>
      <xdr:row>73</xdr:row>
      <xdr:rowOff>95250</xdr:rowOff>
    </xdr:to>
    <xdr:grpSp>
      <xdr:nvGrpSpPr>
        <xdr:cNvPr id="16" name="Group 15"/>
        <xdr:cNvGrpSpPr/>
      </xdr:nvGrpSpPr>
      <xdr:grpSpPr>
        <a:xfrm>
          <a:off x="12801759" y="6310719"/>
          <a:ext cx="6047014" cy="2919872"/>
          <a:chOff x="12516875" y="6513342"/>
          <a:chExt cx="6047014" cy="2659233"/>
        </a:xfrm>
      </xdr:grpSpPr>
      <xdr:graphicFrame macro="">
        <xdr:nvGraphicFramePr>
          <xdr:cNvPr id="1935" name="Chart 1"/>
          <xdr:cNvGraphicFramePr>
            <a:graphicFrameLocks/>
          </xdr:cNvGraphicFramePr>
        </xdr:nvGraphicFramePr>
        <xdr:xfrm>
          <a:off x="13115924" y="6724650"/>
          <a:ext cx="4829176" cy="24479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">
        <xdr:nvSpPr>
          <xdr:cNvPr id="26" name="TextBox 25"/>
          <xdr:cNvSpPr txBox="1"/>
        </xdr:nvSpPr>
        <xdr:spPr>
          <a:xfrm>
            <a:off x="12516875" y="6513342"/>
            <a:ext cx="6047014" cy="39543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 rtl="0"/>
            <a:r>
              <a:rPr lang="en-US" sz="1400" b="1" i="0" baseline="0">
                <a:solidFill>
                  <a:sysClr val="windowText" lastClr="000000"/>
                </a:solidFill>
                <a:effectLst/>
                <a:latin typeface="Univers 45 Light" pitchFamily="34" charset="0"/>
                <a:ea typeface="+mn-ea"/>
                <a:cs typeface="+mn-cs"/>
              </a:rPr>
              <a:t>Graduate SCH by College</a:t>
            </a:r>
            <a:endParaRPr lang="en-US" sz="1400">
              <a:solidFill>
                <a:sysClr val="windowText" lastClr="000000"/>
              </a:solidFill>
              <a:effectLst/>
              <a:latin typeface="Univers 45 Light" pitchFamily="34" charset="0"/>
            </a:endParaRP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21</xdr:row>
      <xdr:rowOff>142875</xdr:rowOff>
    </xdr:from>
    <xdr:to>
      <xdr:col>5</xdr:col>
      <xdr:colOff>152400</xdr:colOff>
      <xdr:row>37</xdr:row>
      <xdr:rowOff>95250</xdr:rowOff>
    </xdr:to>
    <xdr:graphicFrame macro="">
      <xdr:nvGraphicFramePr>
        <xdr:cNvPr id="287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0.41814</cdr:x>
      <cdr:y>0.30761</cdr:y>
    </cdr:from>
    <cdr:to>
      <cdr:x>0.59405</cdr:x>
      <cdr:y>0.46067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2211" y="783536"/>
          <a:ext cx="879610" cy="388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latin typeface="Univers 45 Light" pitchFamily="34" charset="0"/>
            </a:rPr>
            <a:t>Engineering</a:t>
          </a:r>
        </a:p>
      </cdr:txBody>
    </cdr:sp>
  </cdr:relSizeAnchor>
  <cdr:relSizeAnchor xmlns:cdr="http://schemas.openxmlformats.org/drawingml/2006/chartDrawing">
    <cdr:from>
      <cdr:x>0.69554</cdr:x>
      <cdr:y>0.38753</cdr:y>
    </cdr:from>
    <cdr:to>
      <cdr:x>0.9557</cdr:x>
      <cdr:y>0.47891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479332" y="985565"/>
          <a:ext cx="1302213" cy="231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Univers 45 Light" pitchFamily="34" charset="0"/>
            </a:rPr>
            <a:t>Human Sciences</a:t>
          </a:r>
        </a:p>
      </cdr:txBody>
    </cdr:sp>
  </cdr:relSizeAnchor>
  <cdr:relSizeAnchor xmlns:cdr="http://schemas.openxmlformats.org/drawingml/2006/chartDrawing">
    <cdr:from>
      <cdr:x>0.71086</cdr:x>
      <cdr:y>0.67399</cdr:y>
    </cdr:from>
    <cdr:to>
      <cdr:x>0.83903</cdr:x>
      <cdr:y>0.74294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557185" y="1711626"/>
          <a:ext cx="640930" cy="174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latin typeface="Univers 45 Light" pitchFamily="34" charset="0"/>
            </a:rPr>
            <a:t>Design</a:t>
          </a:r>
        </a:p>
      </cdr:txBody>
    </cdr:sp>
  </cdr:relSizeAnchor>
  <cdr:relSizeAnchor xmlns:cdr="http://schemas.openxmlformats.org/drawingml/2006/chartDrawing">
    <cdr:from>
      <cdr:x>0.76772</cdr:x>
      <cdr:y>0.55431</cdr:y>
    </cdr:from>
    <cdr:to>
      <cdr:x>0.94617</cdr:x>
      <cdr:y>0.64769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41549" y="1408488"/>
          <a:ext cx="892362" cy="236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Univers 45 Light" pitchFamily="34" charset="0"/>
            </a:rPr>
            <a:t>Agriculture</a:t>
          </a:r>
        </a:p>
      </cdr:txBody>
    </cdr:sp>
  </cdr:relSizeAnchor>
  <cdr:relSizeAnchor xmlns:cdr="http://schemas.openxmlformats.org/drawingml/2006/chartDrawing">
    <cdr:from>
      <cdr:x>0.79023</cdr:x>
      <cdr:y>0.7492</cdr:y>
    </cdr:from>
    <cdr:to>
      <cdr:x>0.95403</cdr:x>
      <cdr:y>0.81882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952906" y="1902290"/>
          <a:ext cx="820302" cy="176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latin typeface="Univers 45 Light" pitchFamily="34" charset="0"/>
            </a:rPr>
            <a:t>Business</a:t>
          </a:r>
        </a:p>
      </cdr:txBody>
    </cdr:sp>
  </cdr:relSizeAnchor>
  <cdr:relSizeAnchor xmlns:cdr="http://schemas.openxmlformats.org/drawingml/2006/chartDrawing">
    <cdr:from>
      <cdr:x>0.77728</cdr:x>
      <cdr:y>0.15501</cdr:y>
    </cdr:from>
    <cdr:to>
      <cdr:x>0.95391</cdr:x>
      <cdr:y>0.22083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89334" y="396650"/>
          <a:ext cx="879610" cy="165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latin typeface="Univers 45 Light" pitchFamily="34" charset="0"/>
            </a:rPr>
            <a:t>LAS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</xdr:row>
      <xdr:rowOff>57150</xdr:rowOff>
    </xdr:from>
    <xdr:to>
      <xdr:col>5</xdr:col>
      <xdr:colOff>247650</xdr:colOff>
      <xdr:row>50</xdr:row>
      <xdr:rowOff>0</xdr:rowOff>
    </xdr:to>
    <xdr:graphicFrame macro="">
      <xdr:nvGraphicFramePr>
        <xdr:cNvPr id="46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0.81925</cdr:x>
      <cdr:y>0.01393</cdr:y>
    </cdr:from>
    <cdr:to>
      <cdr:x>0.81974</cdr:x>
      <cdr:y>0.01393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54345" y="20168"/>
          <a:ext cx="879610" cy="313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latin typeface="Univers 45 Light" pitchFamily="34" charset="0"/>
            </a:rPr>
            <a:t>Engineering</a:t>
          </a:r>
        </a:p>
      </cdr:txBody>
    </cdr:sp>
  </cdr:relSizeAnchor>
  <cdr:relSizeAnchor xmlns:cdr="http://schemas.openxmlformats.org/drawingml/2006/chartDrawing">
    <cdr:from>
      <cdr:x>0.14694</cdr:x>
      <cdr:y>0.29664</cdr:y>
    </cdr:from>
    <cdr:to>
      <cdr:x>0.40808</cdr:x>
      <cdr:y>0.41328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29465" y="668651"/>
          <a:ext cx="1296403" cy="262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Univers 45 Light" pitchFamily="34" charset="0"/>
            </a:rPr>
            <a:t>Human Sciences</a:t>
          </a:r>
        </a:p>
      </cdr:txBody>
    </cdr:sp>
  </cdr:relSizeAnchor>
  <cdr:relSizeAnchor xmlns:cdr="http://schemas.openxmlformats.org/drawingml/2006/chartDrawing">
    <cdr:from>
      <cdr:x>0.84358</cdr:x>
      <cdr:y>0.60051</cdr:y>
    </cdr:from>
    <cdr:to>
      <cdr:x>0.9693</cdr:x>
      <cdr:y>0.74094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187875" y="1353575"/>
          <a:ext cx="624124" cy="3165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latin typeface="Univers 45 Light" pitchFamily="34" charset="0"/>
            </a:rPr>
            <a:t>Design</a:t>
          </a:r>
        </a:p>
      </cdr:txBody>
    </cdr:sp>
  </cdr:relSizeAnchor>
  <cdr:relSizeAnchor xmlns:cdr="http://schemas.openxmlformats.org/drawingml/2006/chartDrawing">
    <cdr:from>
      <cdr:x>0.78345</cdr:x>
      <cdr:y>0.19627</cdr:y>
    </cdr:from>
    <cdr:to>
      <cdr:x>0.96043</cdr:x>
      <cdr:y>0.30489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74757" y="448913"/>
          <a:ext cx="875305" cy="248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Univers 45 Light" pitchFamily="34" charset="0"/>
            </a:rPr>
            <a:t>Agriculture</a:t>
          </a:r>
        </a:p>
      </cdr:txBody>
    </cdr:sp>
  </cdr:relSizeAnchor>
  <cdr:relSizeAnchor xmlns:cdr="http://schemas.openxmlformats.org/drawingml/2006/chartDrawing">
    <cdr:from>
      <cdr:x>0.81824</cdr:x>
      <cdr:y>0.38207</cdr:y>
    </cdr:from>
    <cdr:to>
      <cdr:x>0.9693</cdr:x>
      <cdr:y>0.46896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062076" y="861207"/>
          <a:ext cx="749922" cy="195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latin typeface="Univers 45 Light" pitchFamily="34" charset="0"/>
            </a:rPr>
            <a:t>Business</a:t>
          </a:r>
        </a:p>
      </cdr:txBody>
    </cdr:sp>
  </cdr:relSizeAnchor>
  <cdr:relSizeAnchor xmlns:cdr="http://schemas.openxmlformats.org/drawingml/2006/chartDrawing">
    <cdr:from>
      <cdr:x>0.67168</cdr:x>
      <cdr:y>0.02581</cdr:y>
    </cdr:from>
    <cdr:to>
      <cdr:x>0.87614</cdr:x>
      <cdr:y>0.13503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334482" y="58176"/>
          <a:ext cx="1015050" cy="246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latin typeface="Univers 45 Light" pitchFamily="34" charset="0"/>
            </a:rPr>
            <a:t>Engineering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0.36993</cdr:x>
      <cdr:y>0.18398</cdr:y>
    </cdr:from>
    <cdr:to>
      <cdr:x>0.74762</cdr:x>
      <cdr:y>0.28106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36480" y="471853"/>
          <a:ext cx="1875014" cy="248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en-US" sz="1100" b="1">
              <a:latin typeface="Univers 45 Light" pitchFamily="34" charset="0"/>
            </a:rPr>
            <a:t>Liberal Arts &amp; Sciences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0.33642</cdr:x>
      <cdr:y>0.30761</cdr:y>
    </cdr:from>
    <cdr:to>
      <cdr:x>0.6544</cdr:x>
      <cdr:y>0.46043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63723" y="743934"/>
          <a:ext cx="1572490" cy="3695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latin typeface="Univers 45 Light" pitchFamily="34" charset="0"/>
            </a:rPr>
            <a:t>Engineering</a:t>
          </a:r>
        </a:p>
      </cdr:txBody>
    </cdr:sp>
  </cdr:relSizeAnchor>
  <cdr:relSizeAnchor xmlns:cdr="http://schemas.openxmlformats.org/drawingml/2006/chartDrawing">
    <cdr:from>
      <cdr:x>0.6926</cdr:x>
      <cdr:y>0.37804</cdr:y>
    </cdr:from>
    <cdr:to>
      <cdr:x>0.95326</cdr:x>
      <cdr:y>0.46966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53416" y="923256"/>
          <a:ext cx="1255085" cy="222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Univers 45 Light" pitchFamily="34" charset="0"/>
            </a:rPr>
            <a:t>Human Sciences</a:t>
          </a:r>
        </a:p>
      </cdr:txBody>
    </cdr:sp>
  </cdr:relSizeAnchor>
  <cdr:relSizeAnchor xmlns:cdr="http://schemas.openxmlformats.org/drawingml/2006/chartDrawing">
    <cdr:from>
      <cdr:x>0.45689</cdr:x>
      <cdr:y>0.61976</cdr:y>
    </cdr:from>
    <cdr:to>
      <cdr:x>0.65847</cdr:x>
      <cdr:y>0.70282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259468" y="1498838"/>
          <a:ext cx="996898" cy="2008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1">
              <a:latin typeface="Univers 45 Light" pitchFamily="34" charset="0"/>
            </a:rPr>
            <a:t>Design</a:t>
          </a:r>
        </a:p>
      </cdr:txBody>
    </cdr:sp>
  </cdr:relSizeAnchor>
  <cdr:relSizeAnchor xmlns:cdr="http://schemas.openxmlformats.org/drawingml/2006/chartDrawing">
    <cdr:from>
      <cdr:x>0.76527</cdr:x>
      <cdr:y>0.5195</cdr:y>
    </cdr:from>
    <cdr:to>
      <cdr:x>0.94373</cdr:x>
      <cdr:y>0.64721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784529" y="1256382"/>
          <a:ext cx="882547" cy="3088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Univers 45 Light" pitchFamily="34" charset="0"/>
            </a:rPr>
            <a:t>Agriculture</a:t>
          </a:r>
        </a:p>
      </cdr:txBody>
    </cdr:sp>
  </cdr:relSizeAnchor>
  <cdr:relSizeAnchor xmlns:cdr="http://schemas.openxmlformats.org/drawingml/2006/chartDrawing">
    <cdr:from>
      <cdr:x>0.78754</cdr:x>
      <cdr:y>0.72001</cdr:y>
    </cdr:from>
    <cdr:to>
      <cdr:x>0.95159</cdr:x>
      <cdr:y>0.81667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94662" y="1741292"/>
          <a:ext cx="811285" cy="2337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latin typeface="Univers 45 Light" pitchFamily="34" charset="0"/>
            </a:rPr>
            <a:t>Business</a:t>
          </a:r>
        </a:p>
      </cdr:txBody>
    </cdr:sp>
  </cdr:relSizeAnchor>
  <cdr:relSizeAnchor xmlns:cdr="http://schemas.openxmlformats.org/drawingml/2006/chartDrawing">
    <cdr:from>
      <cdr:x>0.77459</cdr:x>
      <cdr:y>0.15549</cdr:y>
    </cdr:from>
    <cdr:to>
      <cdr:x>0.95074</cdr:x>
      <cdr:y>0.22106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89334" y="396650"/>
          <a:ext cx="879610" cy="165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latin typeface="Univers 45 Light" pitchFamily="34" charset="0"/>
            </a:rPr>
            <a:t>LAS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Text 6"/>
        <xdr:cNvSpPr txBox="1">
          <a:spLocks noChangeArrowheads="1"/>
        </xdr:cNvSpPr>
      </xdr:nvSpPr>
      <xdr:spPr bwMode="auto">
        <a:xfrm>
          <a:off x="0" y="0"/>
          <a:ext cx="1304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 editAs="absolute">
    <xdr:from>
      <xdr:col>0</xdr:col>
      <xdr:colOff>0</xdr:colOff>
      <xdr:row>16</xdr:row>
      <xdr:rowOff>57150</xdr:rowOff>
    </xdr:from>
    <xdr:to>
      <xdr:col>12</xdr:col>
      <xdr:colOff>231531</xdr:colOff>
      <xdr:row>55</xdr:row>
      <xdr:rowOff>161925</xdr:rowOff>
    </xdr:to>
    <xdr:graphicFrame macro="">
      <xdr:nvGraphicFramePr>
        <xdr:cNvPr id="52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66675</xdr:colOff>
      <xdr:row>24</xdr:row>
      <xdr:rowOff>19049</xdr:rowOff>
    </xdr:from>
    <xdr:ext cx="593239" cy="561976"/>
    <xdr:sp macro="" textlink="">
      <xdr:nvSpPr>
        <xdr:cNvPr id="2" name="TextBox 1"/>
        <xdr:cNvSpPr txBox="1"/>
      </xdr:nvSpPr>
      <xdr:spPr>
        <a:xfrm>
          <a:off x="7858125" y="5162549"/>
          <a:ext cx="593239" cy="5619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742950</xdr:colOff>
      <xdr:row>4</xdr:row>
      <xdr:rowOff>128048</xdr:rowOff>
    </xdr:from>
    <xdr:to>
      <xdr:col>6</xdr:col>
      <xdr:colOff>390525</xdr:colOff>
      <xdr:row>48</xdr:row>
      <xdr:rowOff>123825</xdr:rowOff>
    </xdr:to>
    <xdr:grpSp>
      <xdr:nvGrpSpPr>
        <xdr:cNvPr id="15468" name="Group 6"/>
        <xdr:cNvGrpSpPr>
          <a:grpSpLocks/>
        </xdr:cNvGrpSpPr>
      </xdr:nvGrpSpPr>
      <xdr:grpSpPr bwMode="auto">
        <a:xfrm>
          <a:off x="742950" y="798608"/>
          <a:ext cx="5080635" cy="7371937"/>
          <a:chOff x="742950" y="2029385"/>
          <a:chExt cx="5000625" cy="7124137"/>
        </a:xfrm>
      </xdr:grpSpPr>
      <xdr:graphicFrame macro="">
        <xdr:nvGraphicFramePr>
          <xdr:cNvPr id="15469" name="Chart 1"/>
          <xdr:cNvGraphicFramePr>
            <a:graphicFrameLocks/>
          </xdr:cNvGraphicFramePr>
        </xdr:nvGraphicFramePr>
        <xdr:xfrm>
          <a:off x="742950" y="6457950"/>
          <a:ext cx="5000625" cy="26955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5470" name="Chart 1"/>
          <xdr:cNvGraphicFramePr>
            <a:graphicFrameLocks/>
          </xdr:cNvGraphicFramePr>
        </xdr:nvGraphicFramePr>
        <xdr:xfrm>
          <a:off x="742950" y="3238500"/>
          <a:ext cx="5000625" cy="30670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3" name="TextBox 2"/>
          <xdr:cNvSpPr txBox="1"/>
        </xdr:nvSpPr>
        <xdr:spPr>
          <a:xfrm>
            <a:off x="840450" y="2029385"/>
            <a:ext cx="1449735" cy="33112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600" b="1">
                <a:latin typeface="Univers 45 Light" pitchFamily="34" charset="0"/>
              </a:rPr>
              <a:t>~ ~ ~ ~</a:t>
            </a:r>
          </a:p>
        </xdr:txBody>
      </xdr:sp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0.82276</cdr:x>
      <cdr:y>0.01083</cdr:y>
    </cdr:from>
    <cdr:to>
      <cdr:x>0.82276</cdr:x>
      <cdr:y>0.01083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54345" y="20168"/>
          <a:ext cx="879610" cy="313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latin typeface="Univers 45 Light" pitchFamily="34" charset="0"/>
            </a:rPr>
            <a:t>Engineering</a:t>
          </a:r>
        </a:p>
      </cdr:txBody>
    </cdr:sp>
  </cdr:relSizeAnchor>
  <cdr:relSizeAnchor xmlns:cdr="http://schemas.openxmlformats.org/drawingml/2006/chartDrawing">
    <cdr:from>
      <cdr:x>0.16723</cdr:x>
      <cdr:y>0.28358</cdr:y>
    </cdr:from>
    <cdr:to>
      <cdr:x>0.45714</cdr:x>
      <cdr:y>0.39822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49630" y="790988"/>
          <a:ext cx="1472931" cy="319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Univers 45 Light" pitchFamily="34" charset="0"/>
            </a:rPr>
            <a:t>Human Sciences</a:t>
          </a:r>
        </a:p>
      </cdr:txBody>
    </cdr:sp>
  </cdr:relSizeAnchor>
  <cdr:relSizeAnchor xmlns:cdr="http://schemas.openxmlformats.org/drawingml/2006/chartDrawing">
    <cdr:from>
      <cdr:x>0.86778</cdr:x>
      <cdr:y>0.50057</cdr:y>
    </cdr:from>
    <cdr:to>
      <cdr:x>0.99571</cdr:x>
      <cdr:y>0.59059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338230" y="1348021"/>
          <a:ext cx="640930" cy="242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latin typeface="Univers 45 Light" pitchFamily="34" charset="0"/>
            </a:rPr>
            <a:t>Design</a:t>
          </a:r>
        </a:p>
      </cdr:txBody>
    </cdr:sp>
  </cdr:relSizeAnchor>
  <cdr:relSizeAnchor xmlns:cdr="http://schemas.openxmlformats.org/drawingml/2006/chartDrawing">
    <cdr:from>
      <cdr:x>0.81086</cdr:x>
      <cdr:y>0.17157</cdr:y>
    </cdr:from>
    <cdr:to>
      <cdr:x>0.98857</cdr:x>
      <cdr:y>0.31263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119684" y="478568"/>
          <a:ext cx="902879" cy="393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Univers 45 Light" pitchFamily="34" charset="0"/>
            </a:rPr>
            <a:t>Agriculture</a:t>
          </a:r>
        </a:p>
      </cdr:txBody>
    </cdr:sp>
  </cdr:relSizeAnchor>
  <cdr:relSizeAnchor xmlns:cdr="http://schemas.openxmlformats.org/drawingml/2006/chartDrawing">
    <cdr:from>
      <cdr:x>0.8367</cdr:x>
      <cdr:y>0.37643</cdr:y>
    </cdr:from>
    <cdr:to>
      <cdr:x>0.99952</cdr:x>
      <cdr:y>0.48129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180323" y="1009490"/>
          <a:ext cx="820302" cy="285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latin typeface="Univers 45 Light" pitchFamily="34" charset="0"/>
            </a:rPr>
            <a:t>Business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0.58816</cdr:x>
      <cdr:y>0.19395</cdr:y>
    </cdr:from>
    <cdr:to>
      <cdr:x>0.76381</cdr:x>
      <cdr:y>0.25441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39925" y="907906"/>
          <a:ext cx="879610" cy="282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latin typeface="Univers 45 Light" pitchFamily="34" charset="0"/>
            </a:rPr>
            <a:t>Liberal Arts &amp; Sciences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10</xdr:row>
      <xdr:rowOff>57150</xdr:rowOff>
    </xdr:from>
    <xdr:to>
      <xdr:col>5</xdr:col>
      <xdr:colOff>247650</xdr:colOff>
      <xdr:row>51</xdr:row>
      <xdr:rowOff>0</xdr:rowOff>
    </xdr:to>
    <xdr:graphicFrame macro="">
      <xdr:nvGraphicFramePr>
        <xdr:cNvPr id="297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49"/>
  <sheetViews>
    <sheetView showGridLines="0" tabSelected="1" view="pageBreakPreview" zoomScale="110" zoomScaleNormal="100" zoomScaleSheetLayoutView="110" workbookViewId="0">
      <selection activeCell="A2" sqref="A2"/>
    </sheetView>
  </sheetViews>
  <sheetFormatPr defaultColWidth="11.42578125" defaultRowHeight="12.75"/>
  <cols>
    <col min="1" max="2" width="0.85546875" customWidth="1"/>
    <col min="3" max="3" width="17.85546875" customWidth="1"/>
    <col min="4" max="18" width="8.140625" hidden="1" customWidth="1"/>
    <col min="19" max="19" width="3" hidden="1" customWidth="1"/>
    <col min="20" max="20" width="8.7109375" hidden="1" customWidth="1"/>
    <col min="21" max="24" width="15.28515625" hidden="1" customWidth="1"/>
    <col min="25" max="29" width="15.28515625" customWidth="1"/>
    <col min="30" max="30" width="12.28515625" bestFit="1" customWidth="1"/>
    <col min="31" max="31" width="5.140625" bestFit="1" customWidth="1"/>
    <col min="32" max="32" width="9.140625" customWidth="1"/>
  </cols>
  <sheetData>
    <row r="1" spans="1:67" s="1" customFormat="1" ht="15" customHeight="1">
      <c r="A1" s="1" t="s">
        <v>0</v>
      </c>
      <c r="AD1" s="1" t="s">
        <v>0</v>
      </c>
    </row>
    <row r="2" spans="1:67" s="156" customFormat="1" ht="15.75" customHeight="1">
      <c r="A2" s="155" t="s">
        <v>122</v>
      </c>
      <c r="B2" s="155"/>
      <c r="C2" s="155"/>
      <c r="AD2" s="155" t="s">
        <v>122</v>
      </c>
      <c r="AE2" s="155"/>
      <c r="AF2" s="155"/>
      <c r="AM2" s="155" t="s">
        <v>122</v>
      </c>
    </row>
    <row r="3" spans="1:67" s="85" customFormat="1" ht="9.75" customHeight="1">
      <c r="A3" s="84" t="s">
        <v>1</v>
      </c>
      <c r="B3" s="84"/>
      <c r="C3" s="84"/>
      <c r="AD3" s="84" t="s">
        <v>88</v>
      </c>
      <c r="AE3" s="84"/>
      <c r="AF3" s="84"/>
      <c r="AM3" s="84" t="s">
        <v>88</v>
      </c>
    </row>
    <row r="4" spans="1:67" s="2" customFormat="1" ht="7.5" customHeight="1"/>
    <row r="5" spans="1:67" s="46" customFormat="1" ht="15.6" customHeight="1">
      <c r="A5" s="46" t="s">
        <v>82</v>
      </c>
      <c r="D5" s="47" t="s">
        <v>27</v>
      </c>
      <c r="E5" s="47" t="s">
        <v>28</v>
      </c>
      <c r="F5" s="47" t="s">
        <v>29</v>
      </c>
      <c r="G5" s="47" t="s">
        <v>30</v>
      </c>
      <c r="H5" s="47" t="s">
        <v>31</v>
      </c>
      <c r="I5" s="47" t="s">
        <v>32</v>
      </c>
      <c r="J5" s="47" t="s">
        <v>33</v>
      </c>
      <c r="K5" s="47" t="s">
        <v>34</v>
      </c>
      <c r="L5" s="47" t="s">
        <v>35</v>
      </c>
      <c r="M5" s="47" t="s">
        <v>41</v>
      </c>
      <c r="N5" s="47" t="s">
        <v>42</v>
      </c>
      <c r="O5" s="47" t="s">
        <v>45</v>
      </c>
      <c r="P5" s="47" t="s">
        <v>49</v>
      </c>
      <c r="Q5" s="47" t="s">
        <v>51</v>
      </c>
      <c r="R5" s="47" t="s">
        <v>53</v>
      </c>
      <c r="S5" s="47" t="s">
        <v>54</v>
      </c>
      <c r="T5" s="47" t="s">
        <v>59</v>
      </c>
      <c r="U5" s="83" t="s">
        <v>61</v>
      </c>
      <c r="V5" s="83" t="s">
        <v>64</v>
      </c>
      <c r="W5" s="83" t="s">
        <v>66</v>
      </c>
      <c r="X5" s="83" t="s">
        <v>68</v>
      </c>
      <c r="Y5" s="83" t="s">
        <v>70</v>
      </c>
      <c r="Z5" s="83" t="s">
        <v>73</v>
      </c>
      <c r="AA5" s="100" t="s">
        <v>81</v>
      </c>
      <c r="AB5" s="100" t="s">
        <v>86</v>
      </c>
      <c r="AC5" s="100" t="s">
        <v>115</v>
      </c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</row>
    <row r="6" spans="1:67" s="72" customFormat="1" ht="15" customHeight="1">
      <c r="A6" s="73" t="s">
        <v>58</v>
      </c>
      <c r="B6" s="73"/>
      <c r="C6" s="73"/>
      <c r="D6" s="74"/>
      <c r="E6" s="74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</row>
    <row r="7" spans="1:67" s="51" customFormat="1" ht="10.5" customHeight="1">
      <c r="A7" s="86"/>
      <c r="B7" s="87" t="s">
        <v>36</v>
      </c>
      <c r="C7" s="86"/>
      <c r="D7" s="88">
        <v>16571</v>
      </c>
      <c r="E7" s="88">
        <v>18129</v>
      </c>
      <c r="F7" s="88">
        <f t="shared" ref="F7:Z7" si="0">F96</f>
        <v>19851</v>
      </c>
      <c r="G7" s="88">
        <f t="shared" si="0"/>
        <v>19512</v>
      </c>
      <c r="H7" s="88">
        <f t="shared" si="0"/>
        <v>18950</v>
      </c>
      <c r="I7" s="88">
        <f t="shared" si="0"/>
        <v>20071</v>
      </c>
      <c r="J7" s="88">
        <f t="shared" si="0"/>
        <v>19546</v>
      </c>
      <c r="K7" s="88">
        <f t="shared" si="0"/>
        <v>21234</v>
      </c>
      <c r="L7" s="88">
        <f t="shared" si="0"/>
        <v>20942</v>
      </c>
      <c r="M7" s="88">
        <f t="shared" si="0"/>
        <v>19705</v>
      </c>
      <c r="N7" s="88">
        <f t="shared" si="0"/>
        <v>18613</v>
      </c>
      <c r="O7" s="88">
        <f t="shared" si="0"/>
        <v>20850</v>
      </c>
      <c r="P7" s="88">
        <f t="shared" si="0"/>
        <v>20199</v>
      </c>
      <c r="Q7" s="88">
        <f t="shared" si="0"/>
        <v>22095</v>
      </c>
      <c r="R7" s="88">
        <f t="shared" si="0"/>
        <v>21029</v>
      </c>
      <c r="S7" s="88">
        <f t="shared" si="0"/>
        <v>21557</v>
      </c>
      <c r="T7" s="88">
        <f t="shared" si="0"/>
        <v>25291</v>
      </c>
      <c r="U7" s="89">
        <f t="shared" si="0"/>
        <v>27173</v>
      </c>
      <c r="V7" s="89">
        <f t="shared" si="0"/>
        <v>32312</v>
      </c>
      <c r="W7" s="89">
        <f t="shared" si="0"/>
        <v>33971</v>
      </c>
      <c r="X7" s="89">
        <f t="shared" si="0"/>
        <v>34612</v>
      </c>
      <c r="Y7" s="89">
        <f t="shared" si="0"/>
        <v>40548</v>
      </c>
      <c r="Z7" s="89">
        <f t="shared" si="0"/>
        <v>41482</v>
      </c>
      <c r="AA7" s="89">
        <f>AA96</f>
        <v>48929.259999999995</v>
      </c>
      <c r="AB7" s="89">
        <f t="shared" ref="AB7" si="1">AB96</f>
        <v>50710.78</v>
      </c>
      <c r="AC7" s="89">
        <v>48501.2811</v>
      </c>
    </row>
    <row r="8" spans="1:67" s="51" customFormat="1" ht="10.5" customHeight="1">
      <c r="A8" s="86"/>
      <c r="B8" s="87" t="s">
        <v>37</v>
      </c>
      <c r="C8" s="86"/>
      <c r="D8" s="88">
        <v>22098</v>
      </c>
      <c r="E8" s="88">
        <f>24543-137-30</f>
        <v>24376</v>
      </c>
      <c r="F8" s="88">
        <f t="shared" ref="F8:Z8" si="2">F97</f>
        <v>24167</v>
      </c>
      <c r="G8" s="88">
        <f t="shared" si="2"/>
        <v>24572</v>
      </c>
      <c r="H8" s="88">
        <f t="shared" si="2"/>
        <v>26510</v>
      </c>
      <c r="I8" s="88">
        <f t="shared" si="2"/>
        <v>26783</v>
      </c>
      <c r="J8" s="88">
        <f t="shared" si="2"/>
        <v>25362</v>
      </c>
      <c r="K8" s="88">
        <f t="shared" si="2"/>
        <v>26984</v>
      </c>
      <c r="L8" s="88">
        <f t="shared" si="2"/>
        <v>28799</v>
      </c>
      <c r="M8" s="88">
        <f t="shared" si="2"/>
        <v>28302</v>
      </c>
      <c r="N8" s="88">
        <f t="shared" si="2"/>
        <v>30893</v>
      </c>
      <c r="O8" s="88">
        <f t="shared" si="2"/>
        <v>28885</v>
      </c>
      <c r="P8" s="88">
        <f t="shared" si="2"/>
        <v>26322</v>
      </c>
      <c r="Q8" s="88">
        <f t="shared" si="2"/>
        <v>26685</v>
      </c>
      <c r="R8" s="88">
        <f t="shared" si="2"/>
        <v>24309</v>
      </c>
      <c r="S8" s="88">
        <f t="shared" si="2"/>
        <v>23994</v>
      </c>
      <c r="T8" s="88">
        <f t="shared" si="2"/>
        <v>25067</v>
      </c>
      <c r="U8" s="89">
        <f t="shared" si="2"/>
        <v>26953</v>
      </c>
      <c r="V8" s="89">
        <f t="shared" si="2"/>
        <v>29831</v>
      </c>
      <c r="W8" s="89">
        <f t="shared" si="2"/>
        <v>30751</v>
      </c>
      <c r="X8" s="89">
        <f t="shared" si="2"/>
        <v>34557</v>
      </c>
      <c r="Y8" s="89">
        <f t="shared" si="2"/>
        <v>37520</v>
      </c>
      <c r="Z8" s="89">
        <f t="shared" si="2"/>
        <v>40526</v>
      </c>
      <c r="AA8" s="89">
        <f>AA97</f>
        <v>47628.700000000004</v>
      </c>
      <c r="AB8" s="89">
        <f t="shared" ref="AB8" si="3">AB97</f>
        <v>48234.17</v>
      </c>
      <c r="AC8" s="89">
        <v>50249.8416</v>
      </c>
    </row>
    <row r="9" spans="1:67" s="51" customFormat="1" ht="10.5" customHeight="1">
      <c r="A9" s="86"/>
      <c r="B9" s="90" t="s">
        <v>39</v>
      </c>
      <c r="C9" s="86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9"/>
      <c r="V9" s="89"/>
      <c r="W9" s="89"/>
      <c r="X9" s="89"/>
      <c r="Y9" s="89"/>
      <c r="Z9" s="89"/>
      <c r="AA9" s="89">
        <f>AA98</f>
        <v>34.44</v>
      </c>
      <c r="AB9" s="89">
        <f>AB98</f>
        <v>53.43</v>
      </c>
      <c r="AC9" s="89">
        <v>48.1</v>
      </c>
    </row>
    <row r="10" spans="1:67" s="51" customFormat="1" ht="10.5" customHeight="1">
      <c r="A10" s="86"/>
      <c r="B10" s="90" t="s">
        <v>38</v>
      </c>
      <c r="C10" s="86"/>
      <c r="D10" s="88">
        <v>10605</v>
      </c>
      <c r="E10" s="88">
        <v>10836</v>
      </c>
      <c r="F10" s="88">
        <f t="shared" ref="F10:K10" si="4">F99</f>
        <v>10909</v>
      </c>
      <c r="G10" s="88">
        <f t="shared" si="4"/>
        <v>12013</v>
      </c>
      <c r="H10" s="88">
        <f t="shared" si="4"/>
        <v>11520</v>
      </c>
      <c r="I10" s="88">
        <f t="shared" si="4"/>
        <v>10762</v>
      </c>
      <c r="J10" s="88">
        <f t="shared" si="4"/>
        <v>11119</v>
      </c>
      <c r="K10" s="88">
        <f t="shared" si="4"/>
        <v>12010</v>
      </c>
      <c r="L10" s="88">
        <f t="shared" ref="L10:Z10" si="5">L99</f>
        <v>11600</v>
      </c>
      <c r="M10" s="88">
        <f t="shared" si="5"/>
        <v>11079</v>
      </c>
      <c r="N10" s="88">
        <f t="shared" si="5"/>
        <v>11349</v>
      </c>
      <c r="O10" s="88">
        <f t="shared" si="5"/>
        <v>11279</v>
      </c>
      <c r="P10" s="88">
        <f t="shared" si="5"/>
        <v>11010</v>
      </c>
      <c r="Q10" s="88">
        <f t="shared" si="5"/>
        <v>11728</v>
      </c>
      <c r="R10" s="88">
        <f t="shared" si="5"/>
        <v>11462</v>
      </c>
      <c r="S10" s="88">
        <f t="shared" si="5"/>
        <v>11189</v>
      </c>
      <c r="T10" s="88">
        <f t="shared" si="5"/>
        <v>11137</v>
      </c>
      <c r="U10" s="89">
        <f t="shared" si="5"/>
        <v>11432</v>
      </c>
      <c r="V10" s="89">
        <f t="shared" si="5"/>
        <v>11577</v>
      </c>
      <c r="W10" s="89">
        <f t="shared" si="5"/>
        <v>11272</v>
      </c>
      <c r="X10" s="89">
        <f t="shared" si="5"/>
        <v>9536</v>
      </c>
      <c r="Y10" s="89">
        <f t="shared" si="5"/>
        <v>10222</v>
      </c>
      <c r="Z10" s="89">
        <f t="shared" si="5"/>
        <v>10905</v>
      </c>
      <c r="AA10" s="89">
        <f>AA99</f>
        <v>12642.43</v>
      </c>
      <c r="AB10" s="89">
        <f>AB99</f>
        <v>12696.21</v>
      </c>
      <c r="AC10" s="89">
        <v>12162.2909</v>
      </c>
    </row>
    <row r="11" spans="1:67" s="51" customFormat="1" ht="10.5" customHeight="1">
      <c r="A11" s="86"/>
      <c r="B11" s="87"/>
      <c r="C11" s="87" t="s">
        <v>22</v>
      </c>
      <c r="D11" s="88">
        <f>SUM(D7:D10)</f>
        <v>49274</v>
      </c>
      <c r="E11" s="88">
        <f>SUM(E7:E10)</f>
        <v>53341</v>
      </c>
      <c r="F11" s="88">
        <f t="shared" ref="F11:K11" si="6">F95</f>
        <v>54927</v>
      </c>
      <c r="G11" s="88">
        <f t="shared" si="6"/>
        <v>56097</v>
      </c>
      <c r="H11" s="88">
        <f t="shared" si="6"/>
        <v>56980</v>
      </c>
      <c r="I11" s="88">
        <f t="shared" si="6"/>
        <v>57616</v>
      </c>
      <c r="J11" s="88">
        <f t="shared" si="6"/>
        <v>56027</v>
      </c>
      <c r="K11" s="88">
        <f t="shared" si="6"/>
        <v>60228</v>
      </c>
      <c r="L11" s="88">
        <f t="shared" ref="L11:R11" si="7">L95</f>
        <v>61341</v>
      </c>
      <c r="M11" s="88">
        <f t="shared" si="7"/>
        <v>59086</v>
      </c>
      <c r="N11" s="88">
        <f t="shared" si="7"/>
        <v>60855</v>
      </c>
      <c r="O11" s="88">
        <f t="shared" si="7"/>
        <v>61014</v>
      </c>
      <c r="P11" s="88">
        <f t="shared" si="7"/>
        <v>57531</v>
      </c>
      <c r="Q11" s="88">
        <f t="shared" si="7"/>
        <v>60508</v>
      </c>
      <c r="R11" s="88">
        <f t="shared" si="7"/>
        <v>56800</v>
      </c>
      <c r="S11" s="88">
        <f t="shared" ref="S11:AB11" si="8">S95</f>
        <v>56740</v>
      </c>
      <c r="T11" s="88">
        <f t="shared" si="8"/>
        <v>61495</v>
      </c>
      <c r="U11" s="89">
        <f t="shared" si="8"/>
        <v>65558</v>
      </c>
      <c r="V11" s="89">
        <f t="shared" si="8"/>
        <v>73720</v>
      </c>
      <c r="W11" s="89">
        <f t="shared" si="8"/>
        <v>75994</v>
      </c>
      <c r="X11" s="89">
        <f t="shared" si="8"/>
        <v>78705</v>
      </c>
      <c r="Y11" s="89">
        <f t="shared" si="8"/>
        <v>88290</v>
      </c>
      <c r="Z11" s="89">
        <f t="shared" si="8"/>
        <v>92913</v>
      </c>
      <c r="AA11" s="89">
        <f t="shared" si="8"/>
        <v>109234.82999999999</v>
      </c>
      <c r="AB11" s="89">
        <f t="shared" si="8"/>
        <v>111694.59</v>
      </c>
      <c r="AC11" s="89">
        <f>SUM(AC7:AC10)</f>
        <v>110961.51360000001</v>
      </c>
    </row>
    <row r="12" spans="1:67" s="72" customFormat="1" ht="14.25" customHeight="1">
      <c r="A12" s="70" t="s">
        <v>5</v>
      </c>
      <c r="B12" s="70"/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  <c r="AC12" s="77"/>
    </row>
    <row r="13" spans="1:67" s="51" customFormat="1" ht="10.9" customHeight="1">
      <c r="B13" s="50" t="s">
        <v>36</v>
      </c>
      <c r="D13" s="49">
        <v>11473</v>
      </c>
      <c r="E13" s="49">
        <f>10379-27</f>
        <v>10352</v>
      </c>
      <c r="F13" s="49">
        <f t="shared" ref="F13:K15" si="9">F119</f>
        <v>12977</v>
      </c>
      <c r="G13" s="49">
        <f t="shared" si="9"/>
        <v>13969</v>
      </c>
      <c r="H13" s="49">
        <f t="shared" si="9"/>
        <v>14311</v>
      </c>
      <c r="I13" s="49">
        <f t="shared" si="9"/>
        <v>14442</v>
      </c>
      <c r="J13" s="49">
        <f t="shared" si="9"/>
        <v>12447</v>
      </c>
      <c r="K13" s="49">
        <f t="shared" si="9"/>
        <v>12176</v>
      </c>
      <c r="L13" s="49">
        <f t="shared" ref="L13:M15" si="10">L119</f>
        <v>13425</v>
      </c>
      <c r="M13" s="49">
        <f t="shared" si="10"/>
        <v>14045</v>
      </c>
      <c r="N13" s="49">
        <f t="shared" ref="N13:O15" si="11">N119</f>
        <v>14180</v>
      </c>
      <c r="O13" s="49">
        <f t="shared" si="11"/>
        <v>14164</v>
      </c>
      <c r="P13" s="49">
        <f t="shared" ref="P13:R15" si="12">P119</f>
        <v>13173</v>
      </c>
      <c r="Q13" s="49">
        <f t="shared" si="12"/>
        <v>11902</v>
      </c>
      <c r="R13" s="49">
        <f t="shared" si="12"/>
        <v>12279</v>
      </c>
      <c r="S13" s="49">
        <f t="shared" ref="S13:V15" si="13">S119</f>
        <v>12176</v>
      </c>
      <c r="T13" s="49">
        <f t="shared" si="13"/>
        <v>11714</v>
      </c>
      <c r="U13" s="79">
        <f t="shared" si="13"/>
        <v>12239</v>
      </c>
      <c r="V13" s="79">
        <f t="shared" si="13"/>
        <v>13741</v>
      </c>
      <c r="W13" s="79">
        <f>W119</f>
        <v>14110</v>
      </c>
      <c r="X13" s="79">
        <f t="shared" ref="X13:Z15" si="14">X119</f>
        <v>16879</v>
      </c>
      <c r="Y13" s="79">
        <f t="shared" si="14"/>
        <v>20146</v>
      </c>
      <c r="Z13" s="79">
        <f t="shared" si="14"/>
        <v>21618</v>
      </c>
      <c r="AA13" s="79">
        <f t="shared" ref="AA13:AA15" si="15">AA119</f>
        <v>21214</v>
      </c>
      <c r="AB13" s="79">
        <f t="shared" ref="AB13" si="16">AB119</f>
        <v>23688</v>
      </c>
      <c r="AC13" s="79">
        <v>24039</v>
      </c>
    </row>
    <row r="14" spans="1:67" s="51" customFormat="1" ht="10.9" customHeight="1">
      <c r="B14" s="50" t="s">
        <v>37</v>
      </c>
      <c r="D14" s="49">
        <v>31458</v>
      </c>
      <c r="E14" s="49">
        <f>30288</f>
        <v>30288</v>
      </c>
      <c r="F14" s="49">
        <f t="shared" si="9"/>
        <v>26892</v>
      </c>
      <c r="G14" s="49">
        <f t="shared" si="9"/>
        <v>24946</v>
      </c>
      <c r="H14" s="49">
        <f t="shared" si="9"/>
        <v>25698</v>
      </c>
      <c r="I14" s="49">
        <f t="shared" si="9"/>
        <v>28984</v>
      </c>
      <c r="J14" s="49">
        <f t="shared" si="9"/>
        <v>34704</v>
      </c>
      <c r="K14" s="49">
        <f t="shared" si="9"/>
        <v>37354</v>
      </c>
      <c r="L14" s="49">
        <f t="shared" si="10"/>
        <v>39186</v>
      </c>
      <c r="M14" s="49">
        <f t="shared" si="10"/>
        <v>39936</v>
      </c>
      <c r="N14" s="49">
        <f t="shared" si="11"/>
        <v>43401</v>
      </c>
      <c r="O14" s="49">
        <f t="shared" si="11"/>
        <v>44155</v>
      </c>
      <c r="P14" s="49">
        <f t="shared" si="12"/>
        <v>46800</v>
      </c>
      <c r="Q14" s="49">
        <f t="shared" si="12"/>
        <v>48211</v>
      </c>
      <c r="R14" s="49">
        <f t="shared" si="12"/>
        <v>46773</v>
      </c>
      <c r="S14" s="49">
        <f t="shared" si="13"/>
        <v>43234</v>
      </c>
      <c r="T14" s="49">
        <f t="shared" si="13"/>
        <v>43839</v>
      </c>
      <c r="U14" s="79">
        <f t="shared" si="13"/>
        <v>43610</v>
      </c>
      <c r="V14" s="79">
        <f t="shared" si="13"/>
        <v>44493</v>
      </c>
      <c r="W14" s="79">
        <f>W120</f>
        <v>41637</v>
      </c>
      <c r="X14" s="79">
        <f t="shared" si="14"/>
        <v>42319</v>
      </c>
      <c r="Y14" s="79">
        <f t="shared" si="14"/>
        <v>42367</v>
      </c>
      <c r="Z14" s="79">
        <f t="shared" si="14"/>
        <v>45081</v>
      </c>
      <c r="AA14" s="79">
        <f t="shared" si="15"/>
        <v>47623.4</v>
      </c>
      <c r="AB14" s="79">
        <f t="shared" ref="AB14" si="17">AB120</f>
        <v>51618.29</v>
      </c>
      <c r="AC14" s="79">
        <v>56699.15</v>
      </c>
    </row>
    <row r="15" spans="1:67" s="51" customFormat="1" ht="10.5" customHeight="1">
      <c r="B15" s="56" t="s">
        <v>38</v>
      </c>
      <c r="D15" s="49">
        <v>2919</v>
      </c>
      <c r="E15" s="49">
        <v>3087</v>
      </c>
      <c r="F15" s="49">
        <f t="shared" si="9"/>
        <v>3583</v>
      </c>
      <c r="G15" s="49">
        <f t="shared" si="9"/>
        <v>3554</v>
      </c>
      <c r="H15" s="49">
        <f t="shared" si="9"/>
        <v>3489</v>
      </c>
      <c r="I15" s="49">
        <f t="shared" si="9"/>
        <v>3916</v>
      </c>
      <c r="J15" s="49">
        <f t="shared" si="9"/>
        <v>3805</v>
      </c>
      <c r="K15" s="49">
        <f t="shared" si="9"/>
        <v>3582</v>
      </c>
      <c r="L15" s="49">
        <f t="shared" si="10"/>
        <v>3962</v>
      </c>
      <c r="M15" s="49">
        <f t="shared" si="10"/>
        <v>4444</v>
      </c>
      <c r="N15" s="49">
        <f t="shared" si="11"/>
        <v>4717</v>
      </c>
      <c r="O15" s="49">
        <f t="shared" si="11"/>
        <v>4781</v>
      </c>
      <c r="P15" s="49">
        <f t="shared" si="12"/>
        <v>4613</v>
      </c>
      <c r="Q15" s="49">
        <f t="shared" si="12"/>
        <v>3696</v>
      </c>
      <c r="R15" s="49">
        <f t="shared" si="12"/>
        <v>3690</v>
      </c>
      <c r="S15" s="49">
        <f t="shared" si="13"/>
        <v>3998</v>
      </c>
      <c r="T15" s="49">
        <f t="shared" si="13"/>
        <v>4324</v>
      </c>
      <c r="U15" s="79">
        <f t="shared" si="13"/>
        <v>4758</v>
      </c>
      <c r="V15" s="79">
        <f t="shared" si="13"/>
        <v>4896</v>
      </c>
      <c r="W15" s="79">
        <f>W121</f>
        <v>4626</v>
      </c>
      <c r="X15" s="79">
        <f t="shared" si="14"/>
        <v>4483</v>
      </c>
      <c r="Y15" s="79">
        <f t="shared" si="14"/>
        <v>3987</v>
      </c>
      <c r="Z15" s="79">
        <f t="shared" si="14"/>
        <v>4173</v>
      </c>
      <c r="AA15" s="79">
        <f t="shared" si="15"/>
        <v>4905.3999999999996</v>
      </c>
      <c r="AB15" s="79">
        <f t="shared" ref="AB15" si="18">AB121</f>
        <v>5767.24</v>
      </c>
      <c r="AC15" s="79">
        <v>5691.7</v>
      </c>
    </row>
    <row r="16" spans="1:67" s="51" customFormat="1" ht="10.5" customHeight="1">
      <c r="B16" s="50"/>
      <c r="C16" s="50" t="s">
        <v>22</v>
      </c>
      <c r="D16" s="49">
        <f>SUM(D13:D15)</f>
        <v>45850</v>
      </c>
      <c r="E16" s="49">
        <f>SUM(E13:E15)</f>
        <v>43727</v>
      </c>
      <c r="F16" s="49">
        <f t="shared" ref="F16:K16" si="19">F118</f>
        <v>43452</v>
      </c>
      <c r="G16" s="49">
        <f t="shared" si="19"/>
        <v>42469</v>
      </c>
      <c r="H16" s="49">
        <f t="shared" si="19"/>
        <v>43498</v>
      </c>
      <c r="I16" s="49">
        <f t="shared" si="19"/>
        <v>47342</v>
      </c>
      <c r="J16" s="49">
        <f t="shared" si="19"/>
        <v>50956</v>
      </c>
      <c r="K16" s="49">
        <f t="shared" si="19"/>
        <v>53112</v>
      </c>
      <c r="L16" s="49">
        <f t="shared" ref="L16:R16" si="20">L118</f>
        <v>56573</v>
      </c>
      <c r="M16" s="49">
        <f t="shared" si="20"/>
        <v>58425</v>
      </c>
      <c r="N16" s="49">
        <f t="shared" si="20"/>
        <v>62298</v>
      </c>
      <c r="O16" s="49">
        <f t="shared" si="20"/>
        <v>63100</v>
      </c>
      <c r="P16" s="49">
        <f t="shared" si="20"/>
        <v>64586</v>
      </c>
      <c r="Q16" s="49">
        <f t="shared" si="20"/>
        <v>63809</v>
      </c>
      <c r="R16" s="49">
        <f t="shared" si="20"/>
        <v>62742</v>
      </c>
      <c r="S16" s="49">
        <f t="shared" ref="S16:AB16" si="21">S118</f>
        <v>59408</v>
      </c>
      <c r="T16" s="49">
        <f t="shared" si="21"/>
        <v>59877</v>
      </c>
      <c r="U16" s="79">
        <f t="shared" si="21"/>
        <v>60607</v>
      </c>
      <c r="V16" s="79">
        <f t="shared" si="21"/>
        <v>63130</v>
      </c>
      <c r="W16" s="79">
        <f t="shared" si="21"/>
        <v>60373</v>
      </c>
      <c r="X16" s="79">
        <f t="shared" si="21"/>
        <v>63681</v>
      </c>
      <c r="Y16" s="79">
        <f t="shared" si="21"/>
        <v>66500</v>
      </c>
      <c r="Z16" s="79">
        <f t="shared" si="21"/>
        <v>70872</v>
      </c>
      <c r="AA16" s="79">
        <f t="shared" si="21"/>
        <v>73742.8</v>
      </c>
      <c r="AB16" s="79">
        <f t="shared" si="21"/>
        <v>81073.53</v>
      </c>
      <c r="AC16" s="79">
        <f>SUM(AC13:AC15)</f>
        <v>86429.849999999991</v>
      </c>
    </row>
    <row r="17" spans="1:29" s="72" customFormat="1" ht="14.25" customHeight="1">
      <c r="A17" s="73" t="s">
        <v>6</v>
      </c>
      <c r="B17" s="73"/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6"/>
      <c r="V17" s="76"/>
      <c r="W17" s="76"/>
      <c r="X17" s="76"/>
      <c r="Y17" s="76"/>
      <c r="Z17" s="76"/>
      <c r="AA17" s="76"/>
      <c r="AB17" s="76"/>
      <c r="AC17" s="76"/>
    </row>
    <row r="18" spans="1:29" s="51" customFormat="1" ht="10.9" customHeight="1">
      <c r="A18" s="86"/>
      <c r="B18" s="87" t="s">
        <v>36</v>
      </c>
      <c r="C18" s="86"/>
      <c r="D18" s="88">
        <v>18547</v>
      </c>
      <c r="E18" s="88">
        <v>17670</v>
      </c>
      <c r="F18" s="88">
        <f t="shared" ref="F18:K20" si="22">F141</f>
        <v>18064</v>
      </c>
      <c r="G18" s="88">
        <f t="shared" si="22"/>
        <v>16171</v>
      </c>
      <c r="H18" s="88">
        <f t="shared" si="22"/>
        <v>16099</v>
      </c>
      <c r="I18" s="88">
        <f t="shared" si="22"/>
        <v>16783</v>
      </c>
      <c r="J18" s="88">
        <f t="shared" si="22"/>
        <v>18698</v>
      </c>
      <c r="K18" s="88">
        <f t="shared" si="22"/>
        <v>18518</v>
      </c>
      <c r="L18" s="88">
        <f t="shared" ref="L18:M20" si="23">L141</f>
        <v>17961</v>
      </c>
      <c r="M18" s="88">
        <f t="shared" si="23"/>
        <v>19590</v>
      </c>
      <c r="N18" s="88">
        <f t="shared" ref="N18:O20" si="24">N141</f>
        <v>19408</v>
      </c>
      <c r="O18" s="88">
        <f t="shared" si="24"/>
        <v>19240</v>
      </c>
      <c r="P18" s="88">
        <f t="shared" ref="P18:R20" si="25">P141</f>
        <v>19854</v>
      </c>
      <c r="Q18" s="88">
        <f t="shared" si="25"/>
        <v>17786</v>
      </c>
      <c r="R18" s="88">
        <f t="shared" si="25"/>
        <v>17710</v>
      </c>
      <c r="S18" s="88">
        <f t="shared" ref="S18:V20" si="26">S141</f>
        <v>17696</v>
      </c>
      <c r="T18" s="88">
        <f t="shared" si="26"/>
        <v>18761</v>
      </c>
      <c r="U18" s="89">
        <f t="shared" si="26"/>
        <v>18937</v>
      </c>
      <c r="V18" s="89">
        <f t="shared" si="26"/>
        <v>19209</v>
      </c>
      <c r="W18" s="89">
        <f>W141</f>
        <v>19197</v>
      </c>
      <c r="X18" s="89">
        <f t="shared" ref="X18:Z20" si="27">X141</f>
        <v>19763</v>
      </c>
      <c r="Y18" s="89">
        <f t="shared" si="27"/>
        <v>19108</v>
      </c>
      <c r="Z18" s="89">
        <f t="shared" si="27"/>
        <v>19317</v>
      </c>
      <c r="AA18" s="89">
        <f t="shared" ref="AA18:AA20" si="28">AA141</f>
        <v>19525.370000000003</v>
      </c>
      <c r="AB18" s="89">
        <f t="shared" ref="AB18" si="29">AB141</f>
        <v>19776.18</v>
      </c>
      <c r="AC18" s="89">
        <v>19759.349999999999</v>
      </c>
    </row>
    <row r="19" spans="1:29" s="51" customFormat="1" ht="10.9" customHeight="1">
      <c r="A19" s="86"/>
      <c r="B19" s="87" t="s">
        <v>37</v>
      </c>
      <c r="C19" s="86"/>
      <c r="D19" s="88">
        <v>15507</v>
      </c>
      <c r="E19" s="88">
        <v>16290</v>
      </c>
      <c r="F19" s="88">
        <f t="shared" si="22"/>
        <v>15764</v>
      </c>
      <c r="G19" s="88">
        <f t="shared" si="22"/>
        <v>14802</v>
      </c>
      <c r="H19" s="88">
        <f t="shared" si="22"/>
        <v>14989</v>
      </c>
      <c r="I19" s="88">
        <f t="shared" si="22"/>
        <v>13790</v>
      </c>
      <c r="J19" s="88">
        <f t="shared" si="22"/>
        <v>14887</v>
      </c>
      <c r="K19" s="88">
        <f t="shared" si="22"/>
        <v>14730</v>
      </c>
      <c r="L19" s="88">
        <f t="shared" si="23"/>
        <v>14908</v>
      </c>
      <c r="M19" s="88">
        <f t="shared" si="23"/>
        <v>16275</v>
      </c>
      <c r="N19" s="88">
        <f t="shared" si="24"/>
        <v>15610</v>
      </c>
      <c r="O19" s="88">
        <f t="shared" si="24"/>
        <v>16239</v>
      </c>
      <c r="P19" s="88">
        <f t="shared" si="25"/>
        <v>17311</v>
      </c>
      <c r="Q19" s="88">
        <f t="shared" si="25"/>
        <v>17116</v>
      </c>
      <c r="R19" s="88">
        <f t="shared" si="25"/>
        <v>15789</v>
      </c>
      <c r="S19" s="88">
        <f t="shared" si="26"/>
        <v>16172</v>
      </c>
      <c r="T19" s="88">
        <f t="shared" si="26"/>
        <v>16182</v>
      </c>
      <c r="U19" s="89">
        <f t="shared" si="26"/>
        <v>15367</v>
      </c>
      <c r="V19" s="89">
        <f t="shared" si="26"/>
        <v>17491</v>
      </c>
      <c r="W19" s="89">
        <f>W142</f>
        <v>17903</v>
      </c>
      <c r="X19" s="89">
        <f t="shared" si="27"/>
        <v>18578</v>
      </c>
      <c r="Y19" s="89">
        <f t="shared" si="27"/>
        <v>18419</v>
      </c>
      <c r="Z19" s="89">
        <f t="shared" si="27"/>
        <v>18920</v>
      </c>
      <c r="AA19" s="89">
        <f t="shared" si="28"/>
        <v>18724.84</v>
      </c>
      <c r="AB19" s="89">
        <f t="shared" ref="AB19" si="30">AB142</f>
        <v>19378.64</v>
      </c>
      <c r="AC19" s="89">
        <v>19687.989999999998</v>
      </c>
    </row>
    <row r="20" spans="1:29" s="51" customFormat="1" ht="10.5" customHeight="1">
      <c r="A20" s="86"/>
      <c r="B20" s="90" t="s">
        <v>38</v>
      </c>
      <c r="C20" s="86"/>
      <c r="D20" s="88">
        <v>2776</v>
      </c>
      <c r="E20" s="88">
        <v>2629</v>
      </c>
      <c r="F20" s="88">
        <f t="shared" si="22"/>
        <v>2426</v>
      </c>
      <c r="G20" s="88">
        <f t="shared" si="22"/>
        <v>2438</v>
      </c>
      <c r="H20" s="88">
        <f t="shared" si="22"/>
        <v>2296</v>
      </c>
      <c r="I20" s="88">
        <f t="shared" si="22"/>
        <v>2604</v>
      </c>
      <c r="J20" s="88">
        <f t="shared" si="22"/>
        <v>2372</v>
      </c>
      <c r="K20" s="88">
        <f t="shared" si="22"/>
        <v>2223</v>
      </c>
      <c r="L20" s="88">
        <f t="shared" si="23"/>
        <v>2134</v>
      </c>
      <c r="M20" s="88">
        <f t="shared" si="23"/>
        <v>2079</v>
      </c>
      <c r="N20" s="88">
        <f t="shared" si="24"/>
        <v>2153</v>
      </c>
      <c r="O20" s="88">
        <f t="shared" si="24"/>
        <v>2804</v>
      </c>
      <c r="P20" s="88">
        <f t="shared" si="25"/>
        <v>3247</v>
      </c>
      <c r="Q20" s="88">
        <f t="shared" si="25"/>
        <v>3498</v>
      </c>
      <c r="R20" s="88">
        <f t="shared" si="25"/>
        <v>3328</v>
      </c>
      <c r="S20" s="88">
        <f t="shared" si="26"/>
        <v>3215</v>
      </c>
      <c r="T20" s="88">
        <f t="shared" si="26"/>
        <v>3666</v>
      </c>
      <c r="U20" s="89">
        <f t="shared" si="26"/>
        <v>3857</v>
      </c>
      <c r="V20" s="89">
        <f t="shared" si="26"/>
        <v>4183</v>
      </c>
      <c r="W20" s="89">
        <f>W143</f>
        <v>5725</v>
      </c>
      <c r="X20" s="89">
        <f t="shared" si="27"/>
        <v>5565</v>
      </c>
      <c r="Y20" s="89">
        <f t="shared" si="27"/>
        <v>6642</v>
      </c>
      <c r="Z20" s="89">
        <f t="shared" si="27"/>
        <v>7204</v>
      </c>
      <c r="AA20" s="89">
        <f t="shared" si="28"/>
        <v>6836.25</v>
      </c>
      <c r="AB20" s="89">
        <f t="shared" ref="AB20" si="31">AB143</f>
        <v>6667.25</v>
      </c>
      <c r="AC20" s="89">
        <v>6557.25</v>
      </c>
    </row>
    <row r="21" spans="1:29" s="51" customFormat="1" ht="10.5" customHeight="1">
      <c r="A21" s="86"/>
      <c r="B21" s="87"/>
      <c r="C21" s="87" t="s">
        <v>22</v>
      </c>
      <c r="D21" s="88">
        <f t="shared" ref="D21:AC21" si="32">SUM(D18:D20)</f>
        <v>36830</v>
      </c>
      <c r="E21" s="88">
        <f t="shared" si="32"/>
        <v>36589</v>
      </c>
      <c r="F21" s="88">
        <f t="shared" si="32"/>
        <v>36254</v>
      </c>
      <c r="G21" s="88">
        <f t="shared" si="32"/>
        <v>33411</v>
      </c>
      <c r="H21" s="88">
        <f t="shared" si="32"/>
        <v>33384</v>
      </c>
      <c r="I21" s="88">
        <f t="shared" si="32"/>
        <v>33177</v>
      </c>
      <c r="J21" s="88">
        <f t="shared" si="32"/>
        <v>35957</v>
      </c>
      <c r="K21" s="88">
        <f t="shared" si="32"/>
        <v>35471</v>
      </c>
      <c r="L21" s="88">
        <f t="shared" si="32"/>
        <v>35003</v>
      </c>
      <c r="M21" s="88">
        <f t="shared" si="32"/>
        <v>37944</v>
      </c>
      <c r="N21" s="88">
        <f t="shared" si="32"/>
        <v>37171</v>
      </c>
      <c r="O21" s="88">
        <f t="shared" si="32"/>
        <v>38283</v>
      </c>
      <c r="P21" s="88">
        <f t="shared" si="32"/>
        <v>40412</v>
      </c>
      <c r="Q21" s="88">
        <f t="shared" si="32"/>
        <v>38400</v>
      </c>
      <c r="R21" s="88">
        <f t="shared" si="32"/>
        <v>36827</v>
      </c>
      <c r="S21" s="88">
        <f t="shared" si="32"/>
        <v>37083</v>
      </c>
      <c r="T21" s="88">
        <f t="shared" si="32"/>
        <v>38609</v>
      </c>
      <c r="U21" s="89">
        <f t="shared" ref="U21:AB21" si="33">SUM(U18:U20)</f>
        <v>38161</v>
      </c>
      <c r="V21" s="89">
        <f t="shared" si="33"/>
        <v>40883</v>
      </c>
      <c r="W21" s="89">
        <f t="shared" si="33"/>
        <v>42825</v>
      </c>
      <c r="X21" s="89">
        <f t="shared" si="33"/>
        <v>43906</v>
      </c>
      <c r="Y21" s="89">
        <f t="shared" si="33"/>
        <v>44169</v>
      </c>
      <c r="Z21" s="89">
        <f t="shared" si="33"/>
        <v>45441</v>
      </c>
      <c r="AA21" s="89">
        <f t="shared" si="33"/>
        <v>45086.460000000006</v>
      </c>
      <c r="AB21" s="89">
        <f t="shared" si="33"/>
        <v>45822.07</v>
      </c>
      <c r="AC21" s="89">
        <f t="shared" si="32"/>
        <v>46004.59</v>
      </c>
    </row>
    <row r="22" spans="1:29" s="52" customFormat="1" ht="12" hidden="1">
      <c r="A22" s="54" t="s">
        <v>7</v>
      </c>
      <c r="B22" s="54"/>
      <c r="C22" s="5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77"/>
      <c r="V22" s="77"/>
      <c r="W22" s="77"/>
      <c r="X22" s="77"/>
      <c r="Y22" s="77"/>
      <c r="Z22" s="77"/>
      <c r="AA22" s="77"/>
      <c r="AB22" s="77"/>
      <c r="AC22" s="77"/>
    </row>
    <row r="23" spans="1:29" s="52" customFormat="1" ht="12" hidden="1">
      <c r="B23" s="34" t="s">
        <v>36</v>
      </c>
      <c r="D23" s="53">
        <v>18829</v>
      </c>
      <c r="E23" s="53">
        <f>18805-24</f>
        <v>18781</v>
      </c>
      <c r="F23" s="53">
        <f t="shared" ref="F23:K25" si="34">F163</f>
        <v>17590</v>
      </c>
      <c r="G23" s="53">
        <f t="shared" si="34"/>
        <v>16165</v>
      </c>
      <c r="H23" s="53">
        <f t="shared" si="34"/>
        <v>17039</v>
      </c>
      <c r="I23" s="53">
        <f t="shared" si="34"/>
        <v>17324</v>
      </c>
      <c r="J23" s="53">
        <f t="shared" si="34"/>
        <v>16688</v>
      </c>
      <c r="K23" s="53">
        <f t="shared" si="34"/>
        <v>16840</v>
      </c>
      <c r="L23" s="53">
        <f t="shared" ref="L23:M25" si="35">L163</f>
        <v>17636</v>
      </c>
      <c r="M23" s="53">
        <f t="shared" si="35"/>
        <v>16225</v>
      </c>
      <c r="N23" s="53">
        <f t="shared" ref="N23:O25" si="36">N163</f>
        <v>17588</v>
      </c>
      <c r="O23" s="53">
        <f t="shared" si="36"/>
        <v>18810</v>
      </c>
      <c r="P23" s="53">
        <f t="shared" ref="P23:R25" si="37">P163</f>
        <v>17057</v>
      </c>
      <c r="Q23" s="53">
        <f t="shared" si="37"/>
        <v>12810</v>
      </c>
      <c r="R23" s="55">
        <f t="shared" si="37"/>
        <v>0</v>
      </c>
      <c r="S23" s="55">
        <f t="shared" ref="S23:V25" si="38">S163</f>
        <v>0</v>
      </c>
      <c r="T23" s="55">
        <f t="shared" si="38"/>
        <v>0</v>
      </c>
      <c r="U23" s="78">
        <f t="shared" si="38"/>
        <v>0</v>
      </c>
      <c r="V23" s="78">
        <f t="shared" si="38"/>
        <v>0</v>
      </c>
      <c r="W23" s="78">
        <f>W163</f>
        <v>0</v>
      </c>
      <c r="X23" s="78">
        <f t="shared" ref="X23:Z25" si="39">X163</f>
        <v>0</v>
      </c>
      <c r="Y23" s="78">
        <f t="shared" si="39"/>
        <v>0</v>
      </c>
      <c r="Z23" s="78">
        <f t="shared" si="39"/>
        <v>0</v>
      </c>
      <c r="AA23" s="78">
        <f t="shared" ref="AA23:AC25" si="40">AA163</f>
        <v>0</v>
      </c>
      <c r="AB23" s="78">
        <f t="shared" ref="AB23" si="41">AB163</f>
        <v>0</v>
      </c>
      <c r="AC23" s="78">
        <f t="shared" si="40"/>
        <v>0</v>
      </c>
    </row>
    <row r="24" spans="1:29" s="52" customFormat="1" ht="12" hidden="1">
      <c r="B24" s="34" t="s">
        <v>37</v>
      </c>
      <c r="D24" s="53">
        <v>22849</v>
      </c>
      <c r="E24" s="53">
        <f>23089-82</f>
        <v>23007</v>
      </c>
      <c r="F24" s="53">
        <f t="shared" si="34"/>
        <v>21938</v>
      </c>
      <c r="G24" s="53">
        <f t="shared" si="34"/>
        <v>21817</v>
      </c>
      <c r="H24" s="53">
        <f t="shared" si="34"/>
        <v>21873</v>
      </c>
      <c r="I24" s="53">
        <f t="shared" si="34"/>
        <v>21588</v>
      </c>
      <c r="J24" s="53">
        <f t="shared" si="34"/>
        <v>22326</v>
      </c>
      <c r="K24" s="53">
        <f t="shared" si="34"/>
        <v>22311</v>
      </c>
      <c r="L24" s="53">
        <f t="shared" si="35"/>
        <v>22594</v>
      </c>
      <c r="M24" s="53">
        <f t="shared" si="35"/>
        <v>24063</v>
      </c>
      <c r="N24" s="53">
        <f t="shared" si="36"/>
        <v>24179</v>
      </c>
      <c r="O24" s="53">
        <f t="shared" si="36"/>
        <v>24409</v>
      </c>
      <c r="P24" s="53">
        <f t="shared" si="37"/>
        <v>23667</v>
      </c>
      <c r="Q24" s="53">
        <f t="shared" si="37"/>
        <v>20981</v>
      </c>
      <c r="R24" s="55">
        <f t="shared" si="37"/>
        <v>0</v>
      </c>
      <c r="S24" s="55">
        <f t="shared" si="38"/>
        <v>0</v>
      </c>
      <c r="T24" s="55">
        <f t="shared" si="38"/>
        <v>0</v>
      </c>
      <c r="U24" s="78">
        <f t="shared" si="38"/>
        <v>0</v>
      </c>
      <c r="V24" s="78">
        <f t="shared" si="38"/>
        <v>0</v>
      </c>
      <c r="W24" s="78">
        <f>W164</f>
        <v>0</v>
      </c>
      <c r="X24" s="78">
        <f t="shared" si="39"/>
        <v>0</v>
      </c>
      <c r="Y24" s="78">
        <f t="shared" si="39"/>
        <v>0</v>
      </c>
      <c r="Z24" s="78">
        <f t="shared" si="39"/>
        <v>0</v>
      </c>
      <c r="AA24" s="78">
        <f t="shared" si="40"/>
        <v>0</v>
      </c>
      <c r="AB24" s="78">
        <f t="shared" ref="AB24" si="42">AB164</f>
        <v>0</v>
      </c>
      <c r="AC24" s="78">
        <f t="shared" si="40"/>
        <v>0</v>
      </c>
    </row>
    <row r="25" spans="1:29" s="52" customFormat="1" ht="12" hidden="1">
      <c r="B25" s="30" t="s">
        <v>38</v>
      </c>
      <c r="D25" s="53">
        <v>8715</v>
      </c>
      <c r="E25" s="53">
        <v>7313</v>
      </c>
      <c r="F25" s="53">
        <f t="shared" si="34"/>
        <v>6665</v>
      </c>
      <c r="G25" s="53">
        <f t="shared" si="34"/>
        <v>7329</v>
      </c>
      <c r="H25" s="53">
        <f t="shared" si="34"/>
        <v>7336</v>
      </c>
      <c r="I25" s="53">
        <f t="shared" si="34"/>
        <v>7549</v>
      </c>
      <c r="J25" s="53">
        <f t="shared" si="34"/>
        <v>7315</v>
      </c>
      <c r="K25" s="53">
        <f t="shared" si="34"/>
        <v>6779</v>
      </c>
      <c r="L25" s="53">
        <f t="shared" si="35"/>
        <v>7960</v>
      </c>
      <c r="M25" s="53">
        <f t="shared" si="35"/>
        <v>8200</v>
      </c>
      <c r="N25" s="53">
        <f t="shared" si="36"/>
        <v>7345</v>
      </c>
      <c r="O25" s="53">
        <f t="shared" si="36"/>
        <v>7777</v>
      </c>
      <c r="P25" s="53">
        <f t="shared" si="37"/>
        <v>7932</v>
      </c>
      <c r="Q25" s="53">
        <f t="shared" si="37"/>
        <v>6748</v>
      </c>
      <c r="R25" s="55">
        <f t="shared" si="37"/>
        <v>0</v>
      </c>
      <c r="S25" s="55">
        <f t="shared" si="38"/>
        <v>0</v>
      </c>
      <c r="T25" s="55">
        <f t="shared" si="38"/>
        <v>0</v>
      </c>
      <c r="U25" s="78">
        <f t="shared" si="38"/>
        <v>0</v>
      </c>
      <c r="V25" s="78">
        <f t="shared" si="38"/>
        <v>0</v>
      </c>
      <c r="W25" s="78">
        <f>W165</f>
        <v>0</v>
      </c>
      <c r="X25" s="78">
        <f t="shared" si="39"/>
        <v>0</v>
      </c>
      <c r="Y25" s="78">
        <f t="shared" si="39"/>
        <v>0</v>
      </c>
      <c r="Z25" s="78">
        <f t="shared" si="39"/>
        <v>0</v>
      </c>
      <c r="AA25" s="78">
        <f t="shared" si="40"/>
        <v>0</v>
      </c>
      <c r="AB25" s="78">
        <f t="shared" ref="AB25" si="43">AB165</f>
        <v>0</v>
      </c>
      <c r="AC25" s="78">
        <f t="shared" si="40"/>
        <v>0</v>
      </c>
    </row>
    <row r="26" spans="1:29" s="52" customFormat="1" ht="12" hidden="1">
      <c r="B26" s="34"/>
      <c r="C26" s="34" t="s">
        <v>22</v>
      </c>
      <c r="D26" s="53">
        <f t="shared" ref="D26:AC26" si="44">SUM(D23:D25)</f>
        <v>50393</v>
      </c>
      <c r="E26" s="53">
        <f t="shared" si="44"/>
        <v>49101</v>
      </c>
      <c r="F26" s="53">
        <f t="shared" si="44"/>
        <v>46193</v>
      </c>
      <c r="G26" s="53">
        <f t="shared" si="44"/>
        <v>45311</v>
      </c>
      <c r="H26" s="53">
        <f t="shared" si="44"/>
        <v>46248</v>
      </c>
      <c r="I26" s="53">
        <f t="shared" si="44"/>
        <v>46461</v>
      </c>
      <c r="J26" s="53">
        <f t="shared" si="44"/>
        <v>46329</v>
      </c>
      <c r="K26" s="53">
        <f t="shared" si="44"/>
        <v>45930</v>
      </c>
      <c r="L26" s="53">
        <f t="shared" si="44"/>
        <v>48190</v>
      </c>
      <c r="M26" s="53">
        <f t="shared" si="44"/>
        <v>48488</v>
      </c>
      <c r="N26" s="53">
        <f t="shared" si="44"/>
        <v>49112</v>
      </c>
      <c r="O26" s="53">
        <f t="shared" si="44"/>
        <v>50996</v>
      </c>
      <c r="P26" s="53">
        <f t="shared" si="44"/>
        <v>48656</v>
      </c>
      <c r="Q26" s="53">
        <f t="shared" si="44"/>
        <v>40539</v>
      </c>
      <c r="R26" s="55">
        <f t="shared" si="44"/>
        <v>0</v>
      </c>
      <c r="S26" s="55">
        <f t="shared" si="44"/>
        <v>0</v>
      </c>
      <c r="T26" s="55">
        <f t="shared" si="44"/>
        <v>0</v>
      </c>
      <c r="U26" s="78">
        <f t="shared" ref="U26:AB26" si="45">SUM(U23:U25)</f>
        <v>0</v>
      </c>
      <c r="V26" s="78">
        <f t="shared" si="45"/>
        <v>0</v>
      </c>
      <c r="W26" s="78">
        <f t="shared" si="45"/>
        <v>0</v>
      </c>
      <c r="X26" s="78">
        <f t="shared" si="45"/>
        <v>0</v>
      </c>
      <c r="Y26" s="78">
        <f t="shared" si="45"/>
        <v>0</v>
      </c>
      <c r="Z26" s="78">
        <f t="shared" si="45"/>
        <v>0</v>
      </c>
      <c r="AA26" s="78">
        <f t="shared" si="45"/>
        <v>0</v>
      </c>
      <c r="AB26" s="78">
        <f t="shared" si="45"/>
        <v>0</v>
      </c>
      <c r="AC26" s="78">
        <f t="shared" si="44"/>
        <v>0</v>
      </c>
    </row>
    <row r="27" spans="1:29" s="72" customFormat="1" ht="14.25" customHeight="1">
      <c r="A27" s="70" t="s">
        <v>8</v>
      </c>
      <c r="B27" s="70"/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7"/>
      <c r="V27" s="77"/>
      <c r="W27" s="77"/>
      <c r="X27" s="77"/>
      <c r="Y27" s="77"/>
      <c r="Z27" s="77"/>
      <c r="AA27" s="77"/>
      <c r="AB27" s="77"/>
      <c r="AC27" s="77"/>
    </row>
    <row r="28" spans="1:29" s="51" customFormat="1" ht="10.9" customHeight="1">
      <c r="B28" s="50" t="s">
        <v>36</v>
      </c>
      <c r="D28" s="49">
        <v>20540</v>
      </c>
      <c r="E28" s="49">
        <v>21633</v>
      </c>
      <c r="F28" s="49">
        <f t="shared" ref="F28:K28" si="46">F188</f>
        <v>21403</v>
      </c>
      <c r="G28" s="49">
        <f t="shared" si="46"/>
        <v>19664</v>
      </c>
      <c r="H28" s="49">
        <f t="shared" si="46"/>
        <v>20135</v>
      </c>
      <c r="I28" s="49">
        <f t="shared" si="46"/>
        <v>20776</v>
      </c>
      <c r="J28" s="49">
        <f t="shared" si="46"/>
        <v>20534</v>
      </c>
      <c r="K28" s="49">
        <f t="shared" si="46"/>
        <v>20936</v>
      </c>
      <c r="L28" s="49">
        <f t="shared" ref="L28:Z28" si="47">L188</f>
        <v>21761</v>
      </c>
      <c r="M28" s="49">
        <f t="shared" si="47"/>
        <v>22843</v>
      </c>
      <c r="N28" s="49">
        <f t="shared" si="47"/>
        <v>24283</v>
      </c>
      <c r="O28" s="49">
        <f t="shared" si="47"/>
        <v>25864</v>
      </c>
      <c r="P28" s="49">
        <f t="shared" si="47"/>
        <v>23378</v>
      </c>
      <c r="Q28" s="49">
        <f t="shared" si="47"/>
        <v>23597</v>
      </c>
      <c r="R28" s="49">
        <f t="shared" si="47"/>
        <v>21798</v>
      </c>
      <c r="S28" s="49">
        <f t="shared" si="47"/>
        <v>20970</v>
      </c>
      <c r="T28" s="49">
        <f t="shared" si="47"/>
        <v>23155</v>
      </c>
      <c r="U28" s="79">
        <f t="shared" si="47"/>
        <v>24913</v>
      </c>
      <c r="V28" s="79">
        <f t="shared" si="47"/>
        <v>26266</v>
      </c>
      <c r="W28" s="79">
        <f t="shared" si="47"/>
        <v>29591</v>
      </c>
      <c r="X28" s="79">
        <f t="shared" si="47"/>
        <v>33454</v>
      </c>
      <c r="Y28" s="79">
        <f t="shared" si="47"/>
        <v>36546</v>
      </c>
      <c r="Z28" s="79">
        <f t="shared" si="47"/>
        <v>39931</v>
      </c>
      <c r="AA28" s="79">
        <f>AA188</f>
        <v>40899</v>
      </c>
      <c r="AB28" s="79">
        <f t="shared" ref="AB28" si="48">AB188</f>
        <v>43910.600000000006</v>
      </c>
      <c r="AC28" s="79">
        <v>45736.994999999995</v>
      </c>
    </row>
    <row r="29" spans="1:29" s="51" customFormat="1" ht="10.9" customHeight="1">
      <c r="B29" s="50" t="s">
        <v>37</v>
      </c>
      <c r="D29" s="49">
        <v>37867</v>
      </c>
      <c r="E29" s="49">
        <f>37628-21</f>
        <v>37607</v>
      </c>
      <c r="F29" s="49">
        <f t="shared" ref="F29:K29" si="49">F189</f>
        <v>38338</v>
      </c>
      <c r="G29" s="49">
        <f t="shared" si="49"/>
        <v>39167</v>
      </c>
      <c r="H29" s="49">
        <f t="shared" si="49"/>
        <v>37166</v>
      </c>
      <c r="I29" s="49">
        <f t="shared" si="49"/>
        <v>37677</v>
      </c>
      <c r="J29" s="49">
        <f t="shared" si="49"/>
        <v>37091</v>
      </c>
      <c r="K29" s="49">
        <f t="shared" si="49"/>
        <v>36645</v>
      </c>
      <c r="L29" s="49">
        <f t="shared" ref="L29:Z29" si="50">L189</f>
        <v>37147</v>
      </c>
      <c r="M29" s="49">
        <f t="shared" si="50"/>
        <v>36555</v>
      </c>
      <c r="N29" s="49">
        <f t="shared" si="50"/>
        <v>42511</v>
      </c>
      <c r="O29" s="49">
        <f t="shared" si="50"/>
        <v>43385</v>
      </c>
      <c r="P29" s="49">
        <f t="shared" si="50"/>
        <v>44460</v>
      </c>
      <c r="Q29" s="49">
        <f t="shared" si="50"/>
        <v>42716</v>
      </c>
      <c r="R29" s="49">
        <f t="shared" si="50"/>
        <v>41942</v>
      </c>
      <c r="S29" s="49">
        <f t="shared" si="50"/>
        <v>40978</v>
      </c>
      <c r="T29" s="49">
        <f t="shared" si="50"/>
        <v>39169</v>
      </c>
      <c r="U29" s="79">
        <f t="shared" si="50"/>
        <v>40726</v>
      </c>
      <c r="V29" s="79">
        <f t="shared" si="50"/>
        <v>44217</v>
      </c>
      <c r="W29" s="79">
        <f t="shared" si="50"/>
        <v>45993</v>
      </c>
      <c r="X29" s="79">
        <f t="shared" si="50"/>
        <v>50529</v>
      </c>
      <c r="Y29" s="79">
        <f t="shared" si="50"/>
        <v>54838</v>
      </c>
      <c r="Z29" s="79">
        <f t="shared" si="50"/>
        <v>57950</v>
      </c>
      <c r="AA29" s="79">
        <f>AA189</f>
        <v>61215.42</v>
      </c>
      <c r="AB29" s="79">
        <f t="shared" ref="AB29" si="51">AB189</f>
        <v>65505.989999999991</v>
      </c>
      <c r="AC29" s="79">
        <v>69491.608000000007</v>
      </c>
    </row>
    <row r="30" spans="1:29" s="92" customFormat="1" ht="10.9" customHeight="1">
      <c r="B30" s="93" t="s">
        <v>39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V30" s="95"/>
      <c r="W30" s="95"/>
      <c r="X30" s="95"/>
      <c r="Y30" s="95"/>
      <c r="Z30" s="95"/>
      <c r="AA30" s="79">
        <f>AA190</f>
        <v>12.96</v>
      </c>
      <c r="AB30" s="79">
        <f>AB190</f>
        <v>11.16</v>
      </c>
      <c r="AC30" s="79">
        <v>17.64</v>
      </c>
    </row>
    <row r="31" spans="1:29" s="51" customFormat="1" ht="10.5" customHeight="1">
      <c r="B31" s="56" t="s">
        <v>38</v>
      </c>
      <c r="D31" s="49">
        <v>12456</v>
      </c>
      <c r="E31" s="49">
        <v>14029</v>
      </c>
      <c r="F31" s="49">
        <f t="shared" ref="F31:K31" si="52">F191</f>
        <v>13890</v>
      </c>
      <c r="G31" s="49">
        <f t="shared" si="52"/>
        <v>13265</v>
      </c>
      <c r="H31" s="49">
        <f t="shared" si="52"/>
        <v>12262</v>
      </c>
      <c r="I31" s="49">
        <f t="shared" si="52"/>
        <v>12474</v>
      </c>
      <c r="J31" s="49">
        <f t="shared" si="52"/>
        <v>12558</v>
      </c>
      <c r="K31" s="49">
        <f t="shared" si="52"/>
        <v>12643</v>
      </c>
      <c r="L31" s="49">
        <f t="shared" ref="L31:Z31" si="53">L191</f>
        <v>12890</v>
      </c>
      <c r="M31" s="49">
        <f t="shared" si="53"/>
        <v>13017</v>
      </c>
      <c r="N31" s="49">
        <f t="shared" si="53"/>
        <v>13289</v>
      </c>
      <c r="O31" s="49">
        <f t="shared" si="53"/>
        <v>14533</v>
      </c>
      <c r="P31" s="49">
        <f t="shared" si="53"/>
        <v>15650</v>
      </c>
      <c r="Q31" s="49">
        <f t="shared" si="53"/>
        <v>15289</v>
      </c>
      <c r="R31" s="49">
        <f t="shared" si="53"/>
        <v>14136</v>
      </c>
      <c r="S31" s="49">
        <f t="shared" si="53"/>
        <v>13834</v>
      </c>
      <c r="T31" s="49">
        <f t="shared" si="53"/>
        <v>14892</v>
      </c>
      <c r="U31" s="79">
        <f t="shared" si="53"/>
        <v>15230</v>
      </c>
      <c r="V31" s="79">
        <f t="shared" si="53"/>
        <v>17050</v>
      </c>
      <c r="W31" s="79">
        <f t="shared" si="53"/>
        <v>17181</v>
      </c>
      <c r="X31" s="79">
        <f t="shared" si="53"/>
        <v>15487</v>
      </c>
      <c r="Y31" s="79">
        <f t="shared" si="53"/>
        <v>17484</v>
      </c>
      <c r="Z31" s="79">
        <f t="shared" si="53"/>
        <v>18520</v>
      </c>
      <c r="AA31" s="79">
        <f>AA191</f>
        <v>20741.120000000003</v>
      </c>
      <c r="AB31" s="79">
        <f>AB191</f>
        <v>22006.550000000003</v>
      </c>
      <c r="AC31" s="79">
        <v>21877.035200000002</v>
      </c>
    </row>
    <row r="32" spans="1:29" s="51" customFormat="1" ht="10.5" customHeight="1">
      <c r="B32" s="50"/>
      <c r="C32" s="50" t="s">
        <v>22</v>
      </c>
      <c r="D32" s="49">
        <f>SUM(D28:D31)</f>
        <v>70863</v>
      </c>
      <c r="E32" s="49">
        <f>SUM(E28:E31)</f>
        <v>73269</v>
      </c>
      <c r="F32" s="49">
        <f t="shared" ref="F32:AC32" si="54">SUM(F28:F31)</f>
        <v>73631</v>
      </c>
      <c r="G32" s="49">
        <f t="shared" si="54"/>
        <v>72096</v>
      </c>
      <c r="H32" s="49">
        <f t="shared" si="54"/>
        <v>69563</v>
      </c>
      <c r="I32" s="49">
        <f t="shared" si="54"/>
        <v>70927</v>
      </c>
      <c r="J32" s="49">
        <f t="shared" si="54"/>
        <v>70183</v>
      </c>
      <c r="K32" s="49">
        <f t="shared" si="54"/>
        <v>70224</v>
      </c>
      <c r="L32" s="49">
        <f t="shared" si="54"/>
        <v>71798</v>
      </c>
      <c r="M32" s="49">
        <f t="shared" si="54"/>
        <v>72415</v>
      </c>
      <c r="N32" s="49">
        <f t="shared" si="54"/>
        <v>80083</v>
      </c>
      <c r="O32" s="49">
        <f t="shared" si="54"/>
        <v>83782</v>
      </c>
      <c r="P32" s="49">
        <f t="shared" si="54"/>
        <v>83488</v>
      </c>
      <c r="Q32" s="49">
        <f t="shared" si="54"/>
        <v>81602</v>
      </c>
      <c r="R32" s="49">
        <f t="shared" si="54"/>
        <v>77876</v>
      </c>
      <c r="S32" s="49">
        <f t="shared" si="54"/>
        <v>75782</v>
      </c>
      <c r="T32" s="49">
        <f t="shared" si="54"/>
        <v>77216</v>
      </c>
      <c r="U32" s="79">
        <f t="shared" ref="U32:AB32" si="55">SUM(U28:U31)</f>
        <v>80869</v>
      </c>
      <c r="V32" s="79">
        <f t="shared" si="55"/>
        <v>87533</v>
      </c>
      <c r="W32" s="79">
        <f t="shared" si="55"/>
        <v>92765</v>
      </c>
      <c r="X32" s="79">
        <f t="shared" si="55"/>
        <v>99470</v>
      </c>
      <c r="Y32" s="79">
        <f t="shared" si="55"/>
        <v>108868</v>
      </c>
      <c r="Z32" s="79">
        <f t="shared" si="55"/>
        <v>116401</v>
      </c>
      <c r="AA32" s="79">
        <f t="shared" si="55"/>
        <v>122868.5</v>
      </c>
      <c r="AB32" s="79">
        <f t="shared" si="55"/>
        <v>131434.29999999999</v>
      </c>
      <c r="AC32" s="79">
        <f t="shared" si="54"/>
        <v>137123.2782</v>
      </c>
    </row>
    <row r="33" spans="1:29" s="52" customFormat="1" ht="12" hidden="1">
      <c r="A33" s="54" t="s">
        <v>9</v>
      </c>
      <c r="B33" s="54"/>
      <c r="C33" s="54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77"/>
      <c r="V33" s="77"/>
      <c r="W33" s="77"/>
      <c r="X33" s="77"/>
      <c r="Y33" s="77"/>
      <c r="Z33" s="77"/>
      <c r="AA33" s="77"/>
      <c r="AB33" s="77"/>
      <c r="AC33" s="77"/>
    </row>
    <row r="34" spans="1:29" s="52" customFormat="1" ht="12" hidden="1">
      <c r="B34" s="34" t="s">
        <v>36</v>
      </c>
      <c r="D34" s="53">
        <v>15257</v>
      </c>
      <c r="E34" s="53">
        <v>14075</v>
      </c>
      <c r="F34" s="53">
        <f t="shared" ref="F34:N34" si="56">F211</f>
        <v>15447</v>
      </c>
      <c r="G34" s="53">
        <f t="shared" si="56"/>
        <v>15368</v>
      </c>
      <c r="H34" s="53">
        <f t="shared" si="56"/>
        <v>15384</v>
      </c>
      <c r="I34" s="53">
        <f t="shared" si="56"/>
        <v>15497</v>
      </c>
      <c r="J34" s="53">
        <f t="shared" si="56"/>
        <v>15673</v>
      </c>
      <c r="K34" s="53">
        <f t="shared" si="56"/>
        <v>16638</v>
      </c>
      <c r="L34" s="53">
        <f t="shared" si="56"/>
        <v>17140</v>
      </c>
      <c r="M34" s="53">
        <f t="shared" si="56"/>
        <v>18452</v>
      </c>
      <c r="N34" s="53">
        <f t="shared" si="56"/>
        <v>19638</v>
      </c>
      <c r="O34" s="53">
        <f>O211</f>
        <v>18089</v>
      </c>
      <c r="P34" s="53">
        <f t="shared" ref="P34:R36" si="57">P211</f>
        <v>17037</v>
      </c>
      <c r="Q34" s="53">
        <f t="shared" si="57"/>
        <v>16062</v>
      </c>
      <c r="R34" s="55">
        <f t="shared" si="57"/>
        <v>0</v>
      </c>
      <c r="S34" s="55">
        <f>S211</f>
        <v>0</v>
      </c>
      <c r="T34" s="55">
        <f t="shared" ref="T34:V36" si="58">T211</f>
        <v>0</v>
      </c>
      <c r="U34" s="78">
        <f t="shared" si="58"/>
        <v>0</v>
      </c>
      <c r="V34" s="78">
        <f t="shared" si="58"/>
        <v>0</v>
      </c>
      <c r="W34" s="78">
        <f>W211</f>
        <v>0</v>
      </c>
      <c r="X34" s="78">
        <f t="shared" ref="X34:Z36" si="59">X211</f>
        <v>0</v>
      </c>
      <c r="Y34" s="78">
        <f t="shared" si="59"/>
        <v>0</v>
      </c>
      <c r="Z34" s="78">
        <f t="shared" si="59"/>
        <v>0</v>
      </c>
      <c r="AA34" s="78">
        <f t="shared" ref="AA34:AC36" si="60">AA211</f>
        <v>0</v>
      </c>
      <c r="AB34" s="78">
        <f t="shared" ref="AB34" si="61">AB211</f>
        <v>0</v>
      </c>
      <c r="AC34" s="78">
        <f t="shared" si="60"/>
        <v>0</v>
      </c>
    </row>
    <row r="35" spans="1:29" s="52" customFormat="1" ht="12" hidden="1">
      <c r="B35" s="34" t="s">
        <v>37</v>
      </c>
      <c r="D35" s="53">
        <v>15633</v>
      </c>
      <c r="E35" s="53">
        <f>15994-147</f>
        <v>15847</v>
      </c>
      <c r="F35" s="53">
        <f t="shared" ref="F35:N35" si="62">F212</f>
        <v>14545</v>
      </c>
      <c r="G35" s="53">
        <f t="shared" si="62"/>
        <v>14828</v>
      </c>
      <c r="H35" s="53">
        <f t="shared" si="62"/>
        <v>14347</v>
      </c>
      <c r="I35" s="53">
        <f t="shared" si="62"/>
        <v>14854</v>
      </c>
      <c r="J35" s="53">
        <f t="shared" si="62"/>
        <v>14910</v>
      </c>
      <c r="K35" s="53">
        <f t="shared" si="62"/>
        <v>14201</v>
      </c>
      <c r="L35" s="53">
        <f t="shared" si="62"/>
        <v>14566</v>
      </c>
      <c r="M35" s="53">
        <f t="shared" si="62"/>
        <v>15088</v>
      </c>
      <c r="N35" s="53">
        <f t="shared" si="62"/>
        <v>15015</v>
      </c>
      <c r="O35" s="53">
        <f>O212</f>
        <v>15085</v>
      </c>
      <c r="P35" s="53">
        <f t="shared" si="57"/>
        <v>15581</v>
      </c>
      <c r="Q35" s="53">
        <f t="shared" si="57"/>
        <v>15582</v>
      </c>
      <c r="R35" s="55">
        <f t="shared" si="57"/>
        <v>0</v>
      </c>
      <c r="S35" s="55">
        <f>S212</f>
        <v>0</v>
      </c>
      <c r="T35" s="55">
        <f t="shared" si="58"/>
        <v>0</v>
      </c>
      <c r="U35" s="78">
        <f t="shared" si="58"/>
        <v>0</v>
      </c>
      <c r="V35" s="78">
        <f t="shared" si="58"/>
        <v>0</v>
      </c>
      <c r="W35" s="78">
        <f>W212</f>
        <v>0</v>
      </c>
      <c r="X35" s="78">
        <f t="shared" si="59"/>
        <v>0</v>
      </c>
      <c r="Y35" s="78">
        <f t="shared" si="59"/>
        <v>0</v>
      </c>
      <c r="Z35" s="78">
        <f t="shared" si="59"/>
        <v>0</v>
      </c>
      <c r="AA35" s="78">
        <f t="shared" si="60"/>
        <v>0</v>
      </c>
      <c r="AB35" s="78">
        <f t="shared" ref="AB35" si="63">AB212</f>
        <v>0</v>
      </c>
      <c r="AC35" s="78">
        <f t="shared" si="60"/>
        <v>0</v>
      </c>
    </row>
    <row r="36" spans="1:29" s="52" customFormat="1" ht="12" hidden="1">
      <c r="B36" s="30" t="s">
        <v>38</v>
      </c>
      <c r="D36" s="53">
        <v>3010</v>
      </c>
      <c r="E36" s="53">
        <v>3067</v>
      </c>
      <c r="F36" s="53">
        <f t="shared" ref="F36:N36" si="64">F213</f>
        <v>3414</v>
      </c>
      <c r="G36" s="53">
        <f t="shared" si="64"/>
        <v>3482</v>
      </c>
      <c r="H36" s="53">
        <f t="shared" si="64"/>
        <v>3836</v>
      </c>
      <c r="I36" s="53">
        <f t="shared" si="64"/>
        <v>3302</v>
      </c>
      <c r="J36" s="53">
        <f t="shared" si="64"/>
        <v>3128</v>
      </c>
      <c r="K36" s="53">
        <f t="shared" si="64"/>
        <v>2897</v>
      </c>
      <c r="L36" s="53">
        <f t="shared" si="64"/>
        <v>2694</v>
      </c>
      <c r="M36" s="53">
        <f t="shared" si="64"/>
        <v>2493</v>
      </c>
      <c r="N36" s="53">
        <f t="shared" si="64"/>
        <v>2456</v>
      </c>
      <c r="O36" s="53">
        <f>O213</f>
        <v>2906</v>
      </c>
      <c r="P36" s="53">
        <f t="shared" si="57"/>
        <v>2616</v>
      </c>
      <c r="Q36" s="53">
        <f t="shared" si="57"/>
        <v>2776</v>
      </c>
      <c r="R36" s="55">
        <f t="shared" si="57"/>
        <v>0</v>
      </c>
      <c r="S36" s="55">
        <f>S213</f>
        <v>0</v>
      </c>
      <c r="T36" s="55">
        <f t="shared" si="58"/>
        <v>0</v>
      </c>
      <c r="U36" s="78">
        <f t="shared" si="58"/>
        <v>0</v>
      </c>
      <c r="V36" s="78">
        <f t="shared" si="58"/>
        <v>0</v>
      </c>
      <c r="W36" s="78">
        <f>W213</f>
        <v>0</v>
      </c>
      <c r="X36" s="78">
        <f t="shared" si="59"/>
        <v>0</v>
      </c>
      <c r="Y36" s="78">
        <f t="shared" si="59"/>
        <v>0</v>
      </c>
      <c r="Z36" s="78">
        <f t="shared" si="59"/>
        <v>0</v>
      </c>
      <c r="AA36" s="78">
        <f t="shared" si="60"/>
        <v>0</v>
      </c>
      <c r="AB36" s="78">
        <f t="shared" ref="AB36" si="65">AB213</f>
        <v>0</v>
      </c>
      <c r="AC36" s="78">
        <f t="shared" si="60"/>
        <v>0</v>
      </c>
    </row>
    <row r="37" spans="1:29" s="52" customFormat="1" ht="12" hidden="1">
      <c r="B37" s="34"/>
      <c r="C37" s="34" t="s">
        <v>22</v>
      </c>
      <c r="D37" s="53">
        <f t="shared" ref="D37:AC37" si="66">SUM(D34:D36)</f>
        <v>33900</v>
      </c>
      <c r="E37" s="53">
        <f t="shared" si="66"/>
        <v>32989</v>
      </c>
      <c r="F37" s="53">
        <f t="shared" si="66"/>
        <v>33406</v>
      </c>
      <c r="G37" s="53">
        <f t="shared" si="66"/>
        <v>33678</v>
      </c>
      <c r="H37" s="53">
        <f t="shared" si="66"/>
        <v>33567</v>
      </c>
      <c r="I37" s="53">
        <f t="shared" si="66"/>
        <v>33653</v>
      </c>
      <c r="J37" s="53">
        <f t="shared" si="66"/>
        <v>33711</v>
      </c>
      <c r="K37" s="53">
        <f t="shared" si="66"/>
        <v>33736</v>
      </c>
      <c r="L37" s="53">
        <f t="shared" si="66"/>
        <v>34400</v>
      </c>
      <c r="M37" s="53">
        <f t="shared" si="66"/>
        <v>36033</v>
      </c>
      <c r="N37" s="53">
        <f t="shared" si="66"/>
        <v>37109</v>
      </c>
      <c r="O37" s="53">
        <f t="shared" si="66"/>
        <v>36080</v>
      </c>
      <c r="P37" s="53">
        <f t="shared" si="66"/>
        <v>35234</v>
      </c>
      <c r="Q37" s="53">
        <f t="shared" si="66"/>
        <v>34420</v>
      </c>
      <c r="R37" s="55">
        <f t="shared" si="66"/>
        <v>0</v>
      </c>
      <c r="S37" s="55">
        <f t="shared" si="66"/>
        <v>0</v>
      </c>
      <c r="T37" s="55">
        <f t="shared" si="66"/>
        <v>0</v>
      </c>
      <c r="U37" s="78">
        <f t="shared" ref="U37:AB37" si="67">SUM(U34:U36)</f>
        <v>0</v>
      </c>
      <c r="V37" s="78">
        <f t="shared" si="67"/>
        <v>0</v>
      </c>
      <c r="W37" s="78">
        <f t="shared" si="67"/>
        <v>0</v>
      </c>
      <c r="X37" s="78">
        <f t="shared" si="67"/>
        <v>0</v>
      </c>
      <c r="Y37" s="78">
        <f t="shared" si="67"/>
        <v>0</v>
      </c>
      <c r="Z37" s="78">
        <f t="shared" si="67"/>
        <v>0</v>
      </c>
      <c r="AA37" s="78">
        <f t="shared" si="67"/>
        <v>0</v>
      </c>
      <c r="AB37" s="78">
        <f t="shared" si="67"/>
        <v>0</v>
      </c>
      <c r="AC37" s="78">
        <f t="shared" si="66"/>
        <v>0</v>
      </c>
    </row>
    <row r="38" spans="1:29" s="72" customFormat="1" ht="14.25" customHeight="1">
      <c r="A38" s="73" t="s">
        <v>56</v>
      </c>
      <c r="B38" s="73"/>
      <c r="C38" s="73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6"/>
      <c r="V38" s="76"/>
      <c r="W38" s="76"/>
      <c r="X38" s="76"/>
      <c r="Y38" s="76"/>
      <c r="Z38" s="76"/>
      <c r="AA38" s="76"/>
      <c r="AB38" s="76"/>
      <c r="AC38" s="76"/>
    </row>
    <row r="39" spans="1:29" s="51" customFormat="1" ht="10.9" customHeight="1">
      <c r="A39" s="86"/>
      <c r="B39" s="87" t="s">
        <v>36</v>
      </c>
      <c r="C39" s="86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>
        <f>R233</f>
        <v>29268</v>
      </c>
      <c r="S39" s="88">
        <f t="shared" ref="S39:U41" si="68">S233</f>
        <v>30367</v>
      </c>
      <c r="T39" s="88">
        <f t="shared" si="68"/>
        <v>31289</v>
      </c>
      <c r="U39" s="89">
        <f t="shared" si="68"/>
        <v>34234</v>
      </c>
      <c r="V39" s="89">
        <f>V233</f>
        <v>37463</v>
      </c>
      <c r="W39" s="89">
        <f t="shared" ref="W39:Y41" si="69">W233</f>
        <v>39183</v>
      </c>
      <c r="X39" s="89">
        <f t="shared" si="69"/>
        <v>42289</v>
      </c>
      <c r="Y39" s="89">
        <f t="shared" si="69"/>
        <v>46977</v>
      </c>
      <c r="Z39" s="89">
        <f t="shared" ref="Z39:Z41" si="70">Z233</f>
        <v>49602</v>
      </c>
      <c r="AA39" s="89">
        <f>AA233</f>
        <v>50984.82</v>
      </c>
      <c r="AB39" s="89">
        <f t="shared" ref="AB39" si="71">AB233</f>
        <v>51286.29</v>
      </c>
      <c r="AC39" s="89">
        <v>46539.538</v>
      </c>
    </row>
    <row r="40" spans="1:29" s="51" customFormat="1" ht="10.9" customHeight="1">
      <c r="A40" s="86"/>
      <c r="B40" s="87" t="s">
        <v>37</v>
      </c>
      <c r="C40" s="86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>
        <f>R234</f>
        <v>34032</v>
      </c>
      <c r="S40" s="88">
        <f t="shared" si="68"/>
        <v>32294</v>
      </c>
      <c r="T40" s="88">
        <f t="shared" si="68"/>
        <v>31891</v>
      </c>
      <c r="U40" s="89">
        <f t="shared" si="68"/>
        <v>32840</v>
      </c>
      <c r="V40" s="89">
        <f>V234</f>
        <v>34971</v>
      </c>
      <c r="W40" s="89">
        <f t="shared" si="69"/>
        <v>37357</v>
      </c>
      <c r="X40" s="89">
        <f t="shared" si="69"/>
        <v>39914</v>
      </c>
      <c r="Y40" s="89">
        <f t="shared" si="69"/>
        <v>42387</v>
      </c>
      <c r="Z40" s="89">
        <f t="shared" si="70"/>
        <v>47117</v>
      </c>
      <c r="AA40" s="89">
        <f>AA234</f>
        <v>51045.93</v>
      </c>
      <c r="AB40" s="89">
        <f t="shared" ref="AB40" si="72">AB234</f>
        <v>53240.1</v>
      </c>
      <c r="AC40" s="89">
        <v>52821.33</v>
      </c>
    </row>
    <row r="41" spans="1:29" s="51" customFormat="1" ht="9.75" customHeight="1">
      <c r="A41" s="86"/>
      <c r="B41" s="90" t="s">
        <v>38</v>
      </c>
      <c r="C41" s="86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>
        <f>R235</f>
        <v>9502</v>
      </c>
      <c r="S41" s="88">
        <f t="shared" si="68"/>
        <v>8884</v>
      </c>
      <c r="T41" s="88">
        <f t="shared" si="68"/>
        <v>9951</v>
      </c>
      <c r="U41" s="89">
        <f t="shared" si="68"/>
        <v>11037</v>
      </c>
      <c r="V41" s="89">
        <f>V235</f>
        <v>12626</v>
      </c>
      <c r="W41" s="89">
        <f t="shared" si="69"/>
        <v>13050</v>
      </c>
      <c r="X41" s="89">
        <f t="shared" si="69"/>
        <v>14374</v>
      </c>
      <c r="Y41" s="89">
        <f t="shared" si="69"/>
        <v>14088</v>
      </c>
      <c r="Z41" s="89">
        <f t="shared" si="70"/>
        <v>14170</v>
      </c>
      <c r="AA41" s="89">
        <f>AA235</f>
        <v>14906.849999999999</v>
      </c>
      <c r="AB41" s="89">
        <f t="shared" ref="AB41" si="73">AB235</f>
        <v>14415.68</v>
      </c>
      <c r="AC41" s="89">
        <v>12814.149900000002</v>
      </c>
    </row>
    <row r="42" spans="1:29" s="51" customFormat="1" ht="9.75" customHeight="1">
      <c r="A42" s="86"/>
      <c r="B42" s="87"/>
      <c r="C42" s="87" t="s">
        <v>22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>
        <f t="shared" ref="R42:AC42" si="74">SUM(R39:R41)</f>
        <v>72802</v>
      </c>
      <c r="S42" s="88">
        <f t="shared" si="74"/>
        <v>71545</v>
      </c>
      <c r="T42" s="88">
        <f t="shared" si="74"/>
        <v>73131</v>
      </c>
      <c r="U42" s="89">
        <f t="shared" si="74"/>
        <v>78111</v>
      </c>
      <c r="V42" s="89">
        <f t="shared" si="74"/>
        <v>85060</v>
      </c>
      <c r="W42" s="89">
        <f>SUM(W39:W41)</f>
        <v>89590</v>
      </c>
      <c r="X42" s="89">
        <f>SUM(X39:X41)</f>
        <v>96577</v>
      </c>
      <c r="Y42" s="89">
        <f>SUM(Y39:Y41)</f>
        <v>103452</v>
      </c>
      <c r="Z42" s="89">
        <f>SUM(Z39:Z41)</f>
        <v>110889</v>
      </c>
      <c r="AA42" s="89">
        <f>SUM(AA39:AA41)</f>
        <v>116937.60000000001</v>
      </c>
      <c r="AB42" s="89">
        <f t="shared" ref="AB42" si="75">SUM(AB39:AB41)</f>
        <v>118942.07</v>
      </c>
      <c r="AC42" s="89">
        <f t="shared" si="74"/>
        <v>112175.01790000001</v>
      </c>
    </row>
    <row r="43" spans="1:29" s="72" customFormat="1" ht="14.25" customHeight="1">
      <c r="A43" s="70" t="s">
        <v>10</v>
      </c>
      <c r="B43" s="70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7"/>
      <c r="V43" s="77"/>
      <c r="W43" s="77"/>
      <c r="X43" s="77"/>
      <c r="Y43" s="77"/>
      <c r="Z43" s="77"/>
      <c r="AA43" s="77"/>
      <c r="AB43" s="77"/>
      <c r="AC43" s="77"/>
    </row>
    <row r="44" spans="1:29" s="51" customFormat="1" ht="10.9" customHeight="1">
      <c r="B44" s="50" t="s">
        <v>36</v>
      </c>
      <c r="D44" s="49">
        <v>259091</v>
      </c>
      <c r="E44" s="49">
        <f>252055-69</f>
        <v>251986</v>
      </c>
      <c r="F44" s="49">
        <f t="shared" ref="F44:K44" si="76">F258</f>
        <v>246839</v>
      </c>
      <c r="G44" s="49">
        <f t="shared" si="76"/>
        <v>242135</v>
      </c>
      <c r="H44" s="49">
        <f t="shared" si="76"/>
        <v>241008</v>
      </c>
      <c r="I44" s="49">
        <f t="shared" si="76"/>
        <v>241135</v>
      </c>
      <c r="J44" s="49">
        <f t="shared" si="76"/>
        <v>253955</v>
      </c>
      <c r="K44" s="49">
        <f t="shared" si="76"/>
        <v>252157</v>
      </c>
      <c r="L44" s="49">
        <f t="shared" ref="L44:Z44" si="77">L258</f>
        <v>256596</v>
      </c>
      <c r="M44" s="49">
        <f t="shared" si="77"/>
        <v>268303</v>
      </c>
      <c r="N44" s="49">
        <f t="shared" si="77"/>
        <v>283075</v>
      </c>
      <c r="O44" s="49">
        <f t="shared" si="77"/>
        <v>277193</v>
      </c>
      <c r="P44" s="49">
        <f t="shared" si="77"/>
        <v>257430</v>
      </c>
      <c r="Q44" s="49">
        <f t="shared" si="77"/>
        <v>244430</v>
      </c>
      <c r="R44" s="49">
        <f t="shared" si="77"/>
        <v>234493</v>
      </c>
      <c r="S44" s="49">
        <f t="shared" si="77"/>
        <v>231746</v>
      </c>
      <c r="T44" s="49">
        <f t="shared" si="77"/>
        <v>239571</v>
      </c>
      <c r="U44" s="79">
        <f t="shared" si="77"/>
        <v>253458</v>
      </c>
      <c r="V44" s="79">
        <f t="shared" si="77"/>
        <v>257107</v>
      </c>
      <c r="W44" s="79">
        <f t="shared" si="77"/>
        <v>258204</v>
      </c>
      <c r="X44" s="79">
        <f t="shared" si="77"/>
        <v>270391</v>
      </c>
      <c r="Y44" s="79">
        <f t="shared" si="77"/>
        <v>276551</v>
      </c>
      <c r="Z44" s="79">
        <f t="shared" si="77"/>
        <v>302558</v>
      </c>
      <c r="AA44" s="79">
        <f>AA258</f>
        <v>318665.49</v>
      </c>
      <c r="AB44" s="79">
        <f t="shared" ref="AB44" si="78">AB258</f>
        <v>320373.12</v>
      </c>
      <c r="AC44" s="79">
        <v>321941.37050000002</v>
      </c>
    </row>
    <row r="45" spans="1:29" s="51" customFormat="1" ht="10.9" customHeight="1">
      <c r="B45" s="50" t="s">
        <v>37</v>
      </c>
      <c r="D45" s="49">
        <v>96596</v>
      </c>
      <c r="E45" s="49">
        <f>97486-225-144-102-51-92-117</f>
        <v>96755</v>
      </c>
      <c r="F45" s="49">
        <f t="shared" ref="F45:K45" si="79">F259</f>
        <v>96351</v>
      </c>
      <c r="G45" s="49">
        <f t="shared" si="79"/>
        <v>93345</v>
      </c>
      <c r="H45" s="49">
        <f t="shared" si="79"/>
        <v>92053</v>
      </c>
      <c r="I45" s="49">
        <f t="shared" si="79"/>
        <v>90459</v>
      </c>
      <c r="J45" s="49">
        <f t="shared" si="79"/>
        <v>90092</v>
      </c>
      <c r="K45" s="49">
        <f t="shared" si="79"/>
        <v>91470</v>
      </c>
      <c r="L45" s="49">
        <f t="shared" ref="L45:Z45" si="80">L259</f>
        <v>90243</v>
      </c>
      <c r="M45" s="49">
        <f t="shared" si="80"/>
        <v>92584</v>
      </c>
      <c r="N45" s="49">
        <f t="shared" si="80"/>
        <v>96877</v>
      </c>
      <c r="O45" s="49">
        <f t="shared" si="80"/>
        <v>98970</v>
      </c>
      <c r="P45" s="49">
        <f t="shared" si="80"/>
        <v>103563</v>
      </c>
      <c r="Q45" s="49">
        <f t="shared" si="80"/>
        <v>101256</v>
      </c>
      <c r="R45" s="49">
        <f t="shared" si="80"/>
        <v>100047</v>
      </c>
      <c r="S45" s="49">
        <f t="shared" si="80"/>
        <v>93236</v>
      </c>
      <c r="T45" s="49">
        <f t="shared" si="80"/>
        <v>93995</v>
      </c>
      <c r="U45" s="79">
        <f t="shared" si="80"/>
        <v>94851</v>
      </c>
      <c r="V45" s="79">
        <f t="shared" si="80"/>
        <v>98461</v>
      </c>
      <c r="W45" s="79">
        <f t="shared" si="80"/>
        <v>103762</v>
      </c>
      <c r="X45" s="79">
        <f t="shared" si="80"/>
        <v>109405</v>
      </c>
      <c r="Y45" s="79">
        <f t="shared" si="80"/>
        <v>110489</v>
      </c>
      <c r="Z45" s="79">
        <f t="shared" si="80"/>
        <v>113461</v>
      </c>
      <c r="AA45" s="79">
        <f>AA259</f>
        <v>118477.04000000001</v>
      </c>
      <c r="AB45" s="79">
        <f t="shared" ref="AB45" si="81">AB259</f>
        <v>125280.57</v>
      </c>
      <c r="AC45" s="79">
        <v>131009.32339999999</v>
      </c>
    </row>
    <row r="46" spans="1:29" s="92" customFormat="1" ht="10.9" customHeight="1">
      <c r="B46" s="93" t="s">
        <v>39</v>
      </c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5"/>
      <c r="V46" s="95"/>
      <c r="W46" s="95"/>
      <c r="X46" s="95"/>
      <c r="Y46" s="95"/>
      <c r="Z46" s="95"/>
      <c r="AA46" s="79">
        <f>AA260</f>
        <v>2.6799999999999997</v>
      </c>
      <c r="AB46" s="79">
        <f>AB260</f>
        <v>23.040000000000003</v>
      </c>
      <c r="AC46" s="79">
        <v>4.68</v>
      </c>
    </row>
    <row r="47" spans="1:29" s="51" customFormat="1" ht="10.5" customHeight="1">
      <c r="B47" s="56" t="s">
        <v>38</v>
      </c>
      <c r="D47" s="49">
        <v>25683</v>
      </c>
      <c r="E47" s="49">
        <v>26384</v>
      </c>
      <c r="F47" s="49">
        <f t="shared" ref="F47:K47" si="82">F261</f>
        <v>26371</v>
      </c>
      <c r="G47" s="49">
        <f t="shared" si="82"/>
        <v>24958</v>
      </c>
      <c r="H47" s="49">
        <f t="shared" si="82"/>
        <v>23854</v>
      </c>
      <c r="I47" s="49">
        <f t="shared" si="82"/>
        <v>24550</v>
      </c>
      <c r="J47" s="49">
        <f t="shared" si="82"/>
        <v>23209</v>
      </c>
      <c r="K47" s="49">
        <f t="shared" si="82"/>
        <v>20730</v>
      </c>
      <c r="L47" s="49">
        <f t="shared" ref="L47:Z47" si="83">L261</f>
        <v>20377</v>
      </c>
      <c r="M47" s="49">
        <f t="shared" si="83"/>
        <v>20748</v>
      </c>
      <c r="N47" s="49">
        <f t="shared" si="83"/>
        <v>21175</v>
      </c>
      <c r="O47" s="49">
        <f t="shared" si="83"/>
        <v>22181</v>
      </c>
      <c r="P47" s="49">
        <f t="shared" si="83"/>
        <v>24316</v>
      </c>
      <c r="Q47" s="49">
        <f t="shared" si="83"/>
        <v>24160</v>
      </c>
      <c r="R47" s="49">
        <f t="shared" si="83"/>
        <v>23737</v>
      </c>
      <c r="S47" s="49">
        <f t="shared" si="83"/>
        <v>24440</v>
      </c>
      <c r="T47" s="49">
        <f t="shared" si="83"/>
        <v>24967</v>
      </c>
      <c r="U47" s="79">
        <f t="shared" si="83"/>
        <v>24928</v>
      </c>
      <c r="V47" s="79">
        <f t="shared" si="83"/>
        <v>25421</v>
      </c>
      <c r="W47" s="79">
        <f t="shared" si="83"/>
        <v>25117</v>
      </c>
      <c r="X47" s="79">
        <f t="shared" si="83"/>
        <v>22729</v>
      </c>
      <c r="Y47" s="79">
        <f t="shared" si="83"/>
        <v>22156</v>
      </c>
      <c r="Z47" s="79">
        <f t="shared" si="83"/>
        <v>22000</v>
      </c>
      <c r="AA47" s="79">
        <f>AA261</f>
        <v>22033.27</v>
      </c>
      <c r="AB47" s="79">
        <f>AB261</f>
        <v>22910.29</v>
      </c>
      <c r="AC47" s="79">
        <v>22667.9879</v>
      </c>
    </row>
    <row r="48" spans="1:29" s="51" customFormat="1" ht="10.5" customHeight="1">
      <c r="B48" s="50"/>
      <c r="C48" s="50" t="s">
        <v>22</v>
      </c>
      <c r="D48" s="49">
        <f t="shared" ref="D48:AC48" si="84">SUM(D44:D47)</f>
        <v>381370</v>
      </c>
      <c r="E48" s="49">
        <f t="shared" si="84"/>
        <v>375125</v>
      </c>
      <c r="F48" s="49">
        <f t="shared" si="84"/>
        <v>369561</v>
      </c>
      <c r="G48" s="49">
        <f t="shared" si="84"/>
        <v>360438</v>
      </c>
      <c r="H48" s="49">
        <f t="shared" si="84"/>
        <v>356915</v>
      </c>
      <c r="I48" s="49">
        <f t="shared" si="84"/>
        <v>356144</v>
      </c>
      <c r="J48" s="49">
        <f t="shared" si="84"/>
        <v>367256</v>
      </c>
      <c r="K48" s="49">
        <f t="shared" si="84"/>
        <v>364357</v>
      </c>
      <c r="L48" s="49">
        <f t="shared" si="84"/>
        <v>367216</v>
      </c>
      <c r="M48" s="49">
        <f t="shared" si="84"/>
        <v>381635</v>
      </c>
      <c r="N48" s="49">
        <f t="shared" si="84"/>
        <v>401127</v>
      </c>
      <c r="O48" s="49">
        <f t="shared" si="84"/>
        <v>398344</v>
      </c>
      <c r="P48" s="49">
        <f t="shared" si="84"/>
        <v>385309</v>
      </c>
      <c r="Q48" s="49">
        <f t="shared" si="84"/>
        <v>369846</v>
      </c>
      <c r="R48" s="49">
        <f t="shared" si="84"/>
        <v>358277</v>
      </c>
      <c r="S48" s="49">
        <f t="shared" si="84"/>
        <v>349422</v>
      </c>
      <c r="T48" s="49">
        <f t="shared" si="84"/>
        <v>358533</v>
      </c>
      <c r="U48" s="79">
        <f t="shared" ref="U48:AA48" si="85">SUM(U44:U47)</f>
        <v>373237</v>
      </c>
      <c r="V48" s="79">
        <f t="shared" si="85"/>
        <v>380989</v>
      </c>
      <c r="W48" s="79">
        <f t="shared" si="85"/>
        <v>387083</v>
      </c>
      <c r="X48" s="79">
        <f t="shared" si="85"/>
        <v>402525</v>
      </c>
      <c r="Y48" s="79">
        <f t="shared" si="85"/>
        <v>409196</v>
      </c>
      <c r="Z48" s="79">
        <f t="shared" si="85"/>
        <v>438019</v>
      </c>
      <c r="AA48" s="79">
        <f t="shared" si="85"/>
        <v>459178.48000000004</v>
      </c>
      <c r="AB48" s="79">
        <f t="shared" ref="AB48" si="86">SUM(AB44:AB47)</f>
        <v>468587.01999999996</v>
      </c>
      <c r="AC48" s="79">
        <f t="shared" si="84"/>
        <v>475623.36180000001</v>
      </c>
    </row>
    <row r="49" spans="1:29" s="72" customFormat="1" ht="14.25" customHeight="1">
      <c r="A49" s="73" t="s">
        <v>11</v>
      </c>
      <c r="B49" s="73"/>
      <c r="C49" s="73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6"/>
      <c r="V49" s="76"/>
      <c r="W49" s="76"/>
      <c r="X49" s="76"/>
      <c r="Y49" s="76"/>
      <c r="Z49" s="76"/>
      <c r="AA49" s="76"/>
      <c r="AB49" s="76"/>
      <c r="AC49" s="76"/>
    </row>
    <row r="50" spans="1:29" s="51" customFormat="1" ht="10.9" customHeight="1">
      <c r="A50" s="86"/>
      <c r="B50" s="87" t="s">
        <v>36</v>
      </c>
      <c r="C50" s="86"/>
      <c r="D50" s="88"/>
      <c r="E50" s="88"/>
      <c r="F50" s="88"/>
      <c r="G50" s="88"/>
      <c r="H50" s="88"/>
      <c r="I50" s="88"/>
      <c r="J50" s="88"/>
      <c r="K50" s="88">
        <f t="shared" ref="K50:N51" si="87">K284</f>
        <v>4</v>
      </c>
      <c r="L50" s="88">
        <f t="shared" si="87"/>
        <v>0</v>
      </c>
      <c r="M50" s="88">
        <f t="shared" si="87"/>
        <v>0</v>
      </c>
      <c r="N50" s="88">
        <f t="shared" si="87"/>
        <v>112</v>
      </c>
      <c r="O50" s="88">
        <f>O284</f>
        <v>13</v>
      </c>
      <c r="P50" s="88">
        <f t="shared" ref="P50:R53" si="88">P284</f>
        <v>0</v>
      </c>
      <c r="Q50" s="88">
        <f t="shared" si="88"/>
        <v>0</v>
      </c>
      <c r="R50" s="88">
        <f t="shared" si="88"/>
        <v>0</v>
      </c>
      <c r="S50" s="88">
        <f>S284</f>
        <v>0</v>
      </c>
      <c r="T50" s="88">
        <f t="shared" ref="T50:V53" si="89">T284</f>
        <v>0</v>
      </c>
      <c r="U50" s="89">
        <f t="shared" si="89"/>
        <v>0</v>
      </c>
      <c r="V50" s="89">
        <f t="shared" si="89"/>
        <v>0</v>
      </c>
      <c r="W50" s="89">
        <f>W284</f>
        <v>0</v>
      </c>
      <c r="X50" s="89">
        <f t="shared" ref="X50:Z53" si="90">X284</f>
        <v>0</v>
      </c>
      <c r="Y50" s="89">
        <f t="shared" si="90"/>
        <v>0</v>
      </c>
      <c r="Z50" s="89">
        <f t="shared" si="90"/>
        <v>0</v>
      </c>
      <c r="AA50" s="89">
        <f t="shared" ref="AA50:AC53" si="91">AA284</f>
        <v>0</v>
      </c>
      <c r="AB50" s="89">
        <f t="shared" ref="AB50" si="92">AB284</f>
        <v>0</v>
      </c>
      <c r="AC50" s="89">
        <f t="shared" si="91"/>
        <v>0</v>
      </c>
    </row>
    <row r="51" spans="1:29" s="51" customFormat="1" ht="10.9" customHeight="1">
      <c r="A51" s="86"/>
      <c r="B51" s="87" t="s">
        <v>37</v>
      </c>
      <c r="C51" s="86"/>
      <c r="D51" s="88"/>
      <c r="E51" s="88"/>
      <c r="F51" s="88"/>
      <c r="G51" s="88"/>
      <c r="H51" s="88"/>
      <c r="I51" s="88"/>
      <c r="J51" s="88"/>
      <c r="K51" s="88">
        <f t="shared" si="87"/>
        <v>88</v>
      </c>
      <c r="L51" s="88">
        <f t="shared" si="87"/>
        <v>18</v>
      </c>
      <c r="M51" s="88">
        <f t="shared" si="87"/>
        <v>9</v>
      </c>
      <c r="N51" s="88">
        <f t="shared" si="87"/>
        <v>31</v>
      </c>
      <c r="O51" s="88">
        <f>O285</f>
        <v>0</v>
      </c>
      <c r="P51" s="88">
        <f t="shared" si="88"/>
        <v>0</v>
      </c>
      <c r="Q51" s="88">
        <f t="shared" si="88"/>
        <v>0</v>
      </c>
      <c r="R51" s="88">
        <f t="shared" si="88"/>
        <v>0</v>
      </c>
      <c r="S51" s="88">
        <f>S285</f>
        <v>0</v>
      </c>
      <c r="T51" s="88">
        <f t="shared" si="89"/>
        <v>0</v>
      </c>
      <c r="U51" s="89">
        <f t="shared" si="89"/>
        <v>0</v>
      </c>
      <c r="V51" s="89">
        <f t="shared" si="89"/>
        <v>0</v>
      </c>
      <c r="W51" s="89">
        <f>W285</f>
        <v>0</v>
      </c>
      <c r="X51" s="89">
        <f t="shared" si="90"/>
        <v>0</v>
      </c>
      <c r="Y51" s="89">
        <f t="shared" si="90"/>
        <v>0</v>
      </c>
      <c r="Z51" s="89">
        <f t="shared" si="90"/>
        <v>0</v>
      </c>
      <c r="AA51" s="89">
        <f t="shared" si="91"/>
        <v>529.43999999999994</v>
      </c>
      <c r="AB51" s="89">
        <f t="shared" ref="AB51" si="93">AB285</f>
        <v>872.09999999999991</v>
      </c>
      <c r="AC51" s="89">
        <v>503.75</v>
      </c>
    </row>
    <row r="52" spans="1:29" s="51" customFormat="1" ht="10.5" customHeight="1">
      <c r="A52" s="86"/>
      <c r="B52" s="90" t="s">
        <v>39</v>
      </c>
      <c r="C52" s="86"/>
      <c r="D52" s="88">
        <f>78+11574</f>
        <v>11652</v>
      </c>
      <c r="E52" s="88">
        <f>118+12727</f>
        <v>12845</v>
      </c>
      <c r="F52" s="88">
        <f t="shared" ref="F52:K53" si="94">F286</f>
        <v>14548</v>
      </c>
      <c r="G52" s="88">
        <f t="shared" si="94"/>
        <v>15281</v>
      </c>
      <c r="H52" s="88">
        <f t="shared" si="94"/>
        <v>16109</v>
      </c>
      <c r="I52" s="88">
        <f t="shared" si="94"/>
        <v>16084</v>
      </c>
      <c r="J52" s="88">
        <f t="shared" si="94"/>
        <v>16985</v>
      </c>
      <c r="K52" s="88">
        <f t="shared" si="94"/>
        <v>16065</v>
      </c>
      <c r="L52" s="88">
        <f t="shared" ref="L52:N53" si="95">L286</f>
        <v>16262</v>
      </c>
      <c r="M52" s="88">
        <f t="shared" si="95"/>
        <v>16176</v>
      </c>
      <c r="N52" s="88">
        <f t="shared" si="95"/>
        <v>16692</v>
      </c>
      <c r="O52" s="88">
        <f>O286</f>
        <v>16468</v>
      </c>
      <c r="P52" s="88">
        <f t="shared" si="88"/>
        <v>16696</v>
      </c>
      <c r="Q52" s="88">
        <f t="shared" si="88"/>
        <v>16837</v>
      </c>
      <c r="R52" s="88">
        <f t="shared" si="88"/>
        <v>17901</v>
      </c>
      <c r="S52" s="88">
        <f>S286</f>
        <v>18191</v>
      </c>
      <c r="T52" s="88">
        <f t="shared" si="89"/>
        <v>19747</v>
      </c>
      <c r="U52" s="89">
        <f t="shared" si="89"/>
        <v>20056</v>
      </c>
      <c r="V52" s="89">
        <f t="shared" si="89"/>
        <v>22531</v>
      </c>
      <c r="W52" s="89">
        <f>W286</f>
        <v>23480</v>
      </c>
      <c r="X52" s="89">
        <f t="shared" si="90"/>
        <v>23944</v>
      </c>
      <c r="Y52" s="89">
        <f t="shared" si="90"/>
        <v>23989</v>
      </c>
      <c r="Z52" s="89">
        <f t="shared" si="90"/>
        <v>24304</v>
      </c>
      <c r="AA52" s="89">
        <f t="shared" si="91"/>
        <v>25748.28</v>
      </c>
      <c r="AB52" s="89">
        <f t="shared" ref="AB52" si="96">AB286</f>
        <v>25268.98</v>
      </c>
      <c r="AC52" s="89">
        <v>25924.746800000001</v>
      </c>
    </row>
    <row r="53" spans="1:29" s="51" customFormat="1" ht="10.5" customHeight="1">
      <c r="A53" s="86"/>
      <c r="B53" s="87" t="s">
        <v>38</v>
      </c>
      <c r="C53" s="87"/>
      <c r="D53" s="88">
        <v>1828</v>
      </c>
      <c r="E53" s="88">
        <v>1977</v>
      </c>
      <c r="F53" s="88">
        <f t="shared" si="94"/>
        <v>2429</v>
      </c>
      <c r="G53" s="88">
        <f t="shared" si="94"/>
        <v>2575</v>
      </c>
      <c r="H53" s="88">
        <f t="shared" si="94"/>
        <v>2216</v>
      </c>
      <c r="I53" s="88">
        <f t="shared" si="94"/>
        <v>1924</v>
      </c>
      <c r="J53" s="88">
        <f t="shared" si="94"/>
        <v>1754</v>
      </c>
      <c r="K53" s="88">
        <f t="shared" si="94"/>
        <v>1607</v>
      </c>
      <c r="L53" s="88">
        <f t="shared" si="95"/>
        <v>1438</v>
      </c>
      <c r="M53" s="88">
        <f t="shared" si="95"/>
        <v>1423</v>
      </c>
      <c r="N53" s="88">
        <f t="shared" si="95"/>
        <v>1694</v>
      </c>
      <c r="O53" s="88">
        <f>O287</f>
        <v>1609</v>
      </c>
      <c r="P53" s="88">
        <f t="shared" si="88"/>
        <v>1861</v>
      </c>
      <c r="Q53" s="88">
        <f t="shared" si="88"/>
        <v>1930</v>
      </c>
      <c r="R53" s="88">
        <f t="shared" si="88"/>
        <v>1735</v>
      </c>
      <c r="S53" s="88">
        <f>S287</f>
        <v>1929</v>
      </c>
      <c r="T53" s="88">
        <f t="shared" si="89"/>
        <v>1943</v>
      </c>
      <c r="U53" s="89">
        <f t="shared" si="89"/>
        <v>1945</v>
      </c>
      <c r="V53" s="89">
        <f t="shared" si="89"/>
        <v>1864</v>
      </c>
      <c r="W53" s="89">
        <f>W287</f>
        <v>1945</v>
      </c>
      <c r="X53" s="89">
        <f t="shared" si="90"/>
        <v>1731</v>
      </c>
      <c r="Y53" s="89">
        <f t="shared" si="90"/>
        <v>1957</v>
      </c>
      <c r="Z53" s="89">
        <f t="shared" si="90"/>
        <v>2485</v>
      </c>
      <c r="AA53" s="89">
        <f t="shared" si="91"/>
        <v>683.9</v>
      </c>
      <c r="AB53" s="89">
        <f t="shared" ref="AB53" si="97">AB287</f>
        <v>710.17000000000007</v>
      </c>
      <c r="AC53" s="89">
        <v>659.74950000000001</v>
      </c>
    </row>
    <row r="54" spans="1:29" s="51" customFormat="1" ht="10.5" customHeight="1">
      <c r="A54" s="86"/>
      <c r="B54" s="87"/>
      <c r="C54" s="87" t="s">
        <v>22</v>
      </c>
      <c r="D54" s="88">
        <f t="shared" ref="D54:J54" si="98">SUM(D52:D53)</f>
        <v>13480</v>
      </c>
      <c r="E54" s="88">
        <f t="shared" si="98"/>
        <v>14822</v>
      </c>
      <c r="F54" s="88">
        <f t="shared" si="98"/>
        <v>16977</v>
      </c>
      <c r="G54" s="88">
        <f t="shared" si="98"/>
        <v>17856</v>
      </c>
      <c r="H54" s="88">
        <f t="shared" si="98"/>
        <v>18325</v>
      </c>
      <c r="I54" s="88">
        <f t="shared" si="98"/>
        <v>18008</v>
      </c>
      <c r="J54" s="88">
        <f t="shared" si="98"/>
        <v>18739</v>
      </c>
      <c r="K54" s="88">
        <f>SUM(K50:K53)</f>
        <v>17764</v>
      </c>
      <c r="L54" s="88">
        <f>SUM(L50:L53)</f>
        <v>17718</v>
      </c>
      <c r="M54" s="88">
        <f>SUM(M50:M53)</f>
        <v>17608</v>
      </c>
      <c r="N54" s="88">
        <f>SUM(N50:N53)</f>
        <v>18529</v>
      </c>
      <c r="O54" s="88">
        <f>SUM(O50:O53)</f>
        <v>18090</v>
      </c>
      <c r="P54" s="88">
        <f>SUM(P52:P53)</f>
        <v>18557</v>
      </c>
      <c r="Q54" s="88">
        <f>SUM(Q52:Q53)</f>
        <v>18767</v>
      </c>
      <c r="R54" s="88">
        <f>SUM(R52:R53)</f>
        <v>19636</v>
      </c>
      <c r="S54" s="88">
        <f>SUM(S52:S53)</f>
        <v>20120</v>
      </c>
      <c r="T54" s="88">
        <f>SUM(T52:T53)</f>
        <v>21690</v>
      </c>
      <c r="U54" s="89">
        <f t="shared" ref="U54:Z54" si="99">SUM(U52:U53)</f>
        <v>22001</v>
      </c>
      <c r="V54" s="89">
        <f t="shared" si="99"/>
        <v>24395</v>
      </c>
      <c r="W54" s="89">
        <f t="shared" si="99"/>
        <v>25425</v>
      </c>
      <c r="X54" s="89">
        <f t="shared" si="99"/>
        <v>25675</v>
      </c>
      <c r="Y54" s="89">
        <f t="shared" si="99"/>
        <v>25946</v>
      </c>
      <c r="Z54" s="89">
        <f t="shared" si="99"/>
        <v>26789</v>
      </c>
      <c r="AA54" s="89">
        <f>SUM(AA50:AA53)</f>
        <v>26961.62</v>
      </c>
      <c r="AB54" s="89">
        <f>SUM(AB50:AB53)</f>
        <v>26851.25</v>
      </c>
      <c r="AC54" s="89">
        <f>SUM(AC50:AC53)</f>
        <v>27088.246300000003</v>
      </c>
    </row>
    <row r="55" spans="1:29" s="72" customFormat="1" ht="14.25" customHeight="1">
      <c r="A55" s="70" t="s">
        <v>83</v>
      </c>
      <c r="B55" s="70"/>
      <c r="C55" s="70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7"/>
      <c r="V55" s="77"/>
      <c r="W55" s="77"/>
      <c r="X55" s="77"/>
      <c r="Y55" s="77"/>
      <c r="Z55" s="77"/>
      <c r="AA55" s="77"/>
      <c r="AB55" s="77"/>
      <c r="AC55" s="77"/>
    </row>
    <row r="56" spans="1:29" s="51" customFormat="1" ht="10.9" customHeight="1">
      <c r="B56" s="50" t="s">
        <v>36</v>
      </c>
      <c r="D56" s="49">
        <v>3353</v>
      </c>
      <c r="E56" s="49">
        <v>3081</v>
      </c>
      <c r="F56" s="49">
        <f t="shared" ref="F56:L56" si="100">F307</f>
        <v>5400</v>
      </c>
      <c r="G56" s="49">
        <f t="shared" si="100"/>
        <v>4099</v>
      </c>
      <c r="H56" s="49">
        <f t="shared" si="100"/>
        <v>3954</v>
      </c>
      <c r="I56" s="49">
        <f t="shared" si="100"/>
        <v>3960</v>
      </c>
      <c r="J56" s="49">
        <f t="shared" si="100"/>
        <v>3612</v>
      </c>
      <c r="K56" s="49">
        <f t="shared" si="100"/>
        <v>3957</v>
      </c>
      <c r="L56" s="49">
        <f t="shared" si="100"/>
        <v>4901</v>
      </c>
      <c r="M56" s="49">
        <f t="shared" ref="M56:O58" si="101">M307</f>
        <v>4964</v>
      </c>
      <c r="N56" s="49">
        <f t="shared" si="101"/>
        <v>5473</v>
      </c>
      <c r="O56" s="49">
        <f t="shared" si="101"/>
        <v>4844</v>
      </c>
      <c r="P56" s="49">
        <f t="shared" ref="P56:R58" si="102">P307</f>
        <v>4533</v>
      </c>
      <c r="Q56" s="49">
        <f t="shared" si="102"/>
        <v>4896</v>
      </c>
      <c r="R56" s="49">
        <f t="shared" si="102"/>
        <v>6336</v>
      </c>
      <c r="S56" s="49">
        <f t="shared" ref="S56:V58" si="103">S307</f>
        <v>7067</v>
      </c>
      <c r="T56" s="49">
        <f t="shared" si="103"/>
        <v>7440</v>
      </c>
      <c r="U56" s="79">
        <f t="shared" si="103"/>
        <v>7727</v>
      </c>
      <c r="V56" s="79">
        <f t="shared" si="103"/>
        <v>6737</v>
      </c>
      <c r="W56" s="79">
        <f>W307</f>
        <v>7051</v>
      </c>
      <c r="X56" s="79">
        <f t="shared" ref="X56:Z58" si="104">X307</f>
        <v>8614</v>
      </c>
      <c r="Y56" s="79">
        <f t="shared" si="104"/>
        <v>13500</v>
      </c>
      <c r="Z56" s="79">
        <f t="shared" si="104"/>
        <v>15653</v>
      </c>
      <c r="AA56" s="79">
        <f t="shared" ref="AA56:AA58" si="105">AA307</f>
        <v>8282</v>
      </c>
      <c r="AB56" s="79">
        <f t="shared" ref="AB56" si="106">AB307</f>
        <v>8258</v>
      </c>
      <c r="AC56" s="79">
        <v>8357</v>
      </c>
    </row>
    <row r="57" spans="1:29" s="51" customFormat="1" ht="10.9" customHeight="1">
      <c r="B57" s="50" t="s">
        <v>37</v>
      </c>
      <c r="D57" s="49">
        <v>124</v>
      </c>
      <c r="E57" s="49">
        <v>344</v>
      </c>
      <c r="F57" s="49">
        <f>F308</f>
        <v>847</v>
      </c>
      <c r="G57" s="49">
        <f t="shared" ref="G57:L57" si="107">G308</f>
        <v>491</v>
      </c>
      <c r="H57" s="49">
        <f t="shared" si="107"/>
        <v>483</v>
      </c>
      <c r="I57" s="49">
        <f t="shared" si="107"/>
        <v>555</v>
      </c>
      <c r="J57" s="49">
        <f t="shared" si="107"/>
        <v>1518</v>
      </c>
      <c r="K57" s="49">
        <f t="shared" si="107"/>
        <v>926</v>
      </c>
      <c r="L57" s="49">
        <f t="shared" si="107"/>
        <v>1198</v>
      </c>
      <c r="M57" s="49">
        <f t="shared" si="101"/>
        <v>1324</v>
      </c>
      <c r="N57" s="49">
        <f t="shared" si="101"/>
        <v>928</v>
      </c>
      <c r="O57" s="49">
        <f t="shared" si="101"/>
        <v>1123</v>
      </c>
      <c r="P57" s="49">
        <f t="shared" si="102"/>
        <v>925</v>
      </c>
      <c r="Q57" s="49">
        <f t="shared" si="102"/>
        <v>868</v>
      </c>
      <c r="R57" s="49">
        <f t="shared" si="102"/>
        <v>1187</v>
      </c>
      <c r="S57" s="49">
        <f t="shared" si="103"/>
        <v>1309</v>
      </c>
      <c r="T57" s="49">
        <f t="shared" si="103"/>
        <v>2048</v>
      </c>
      <c r="U57" s="79">
        <f t="shared" si="103"/>
        <v>1641</v>
      </c>
      <c r="V57" s="79">
        <f t="shared" si="103"/>
        <v>1655</v>
      </c>
      <c r="W57" s="79">
        <f>W308</f>
        <v>2324</v>
      </c>
      <c r="X57" s="79">
        <f t="shared" si="104"/>
        <v>2537</v>
      </c>
      <c r="Y57" s="79">
        <f t="shared" si="104"/>
        <v>2752</v>
      </c>
      <c r="Z57" s="79">
        <f t="shared" si="104"/>
        <v>3019</v>
      </c>
      <c r="AA57" s="79">
        <f t="shared" si="105"/>
        <v>690</v>
      </c>
      <c r="AB57" s="79">
        <f t="shared" ref="AB57" si="108">AB308</f>
        <v>415</v>
      </c>
      <c r="AC57" s="79">
        <v>374</v>
      </c>
    </row>
    <row r="58" spans="1:29" s="51" customFormat="1" ht="10.5" customHeight="1">
      <c r="B58" s="50" t="s">
        <v>38</v>
      </c>
      <c r="D58" s="49">
        <v>188</v>
      </c>
      <c r="E58" s="49">
        <v>646</v>
      </c>
      <c r="F58" s="49">
        <f>F309</f>
        <v>403</v>
      </c>
      <c r="G58" s="49">
        <f t="shared" ref="G58:L58" si="109">G309</f>
        <v>312</v>
      </c>
      <c r="H58" s="49">
        <f t="shared" si="109"/>
        <v>480</v>
      </c>
      <c r="I58" s="49">
        <f t="shared" si="109"/>
        <v>569</v>
      </c>
      <c r="J58" s="49">
        <f t="shared" si="109"/>
        <v>662</v>
      </c>
      <c r="K58" s="49">
        <f t="shared" si="109"/>
        <v>715</v>
      </c>
      <c r="L58" s="49">
        <f t="shared" si="109"/>
        <v>638</v>
      </c>
      <c r="M58" s="49">
        <f t="shared" si="101"/>
        <v>721</v>
      </c>
      <c r="N58" s="49">
        <f t="shared" si="101"/>
        <v>950</v>
      </c>
      <c r="O58" s="49">
        <f t="shared" si="101"/>
        <v>1117</v>
      </c>
      <c r="P58" s="49">
        <f t="shared" si="102"/>
        <v>1189</v>
      </c>
      <c r="Q58" s="49">
        <f t="shared" si="102"/>
        <v>1105</v>
      </c>
      <c r="R58" s="49">
        <f t="shared" si="102"/>
        <v>1401</v>
      </c>
      <c r="S58" s="49">
        <f t="shared" si="103"/>
        <v>994</v>
      </c>
      <c r="T58" s="49">
        <f t="shared" si="103"/>
        <v>1571</v>
      </c>
      <c r="U58" s="79">
        <f t="shared" si="103"/>
        <v>1500</v>
      </c>
      <c r="V58" s="79">
        <f t="shared" si="103"/>
        <v>1753</v>
      </c>
      <c r="W58" s="79">
        <f>W309</f>
        <v>1753</v>
      </c>
      <c r="X58" s="79">
        <f t="shared" si="104"/>
        <v>2964</v>
      </c>
      <c r="Y58" s="79">
        <f t="shared" si="104"/>
        <v>1637</v>
      </c>
      <c r="Z58" s="79">
        <f t="shared" si="104"/>
        <v>1739</v>
      </c>
      <c r="AA58" s="79">
        <f t="shared" si="105"/>
        <v>2</v>
      </c>
      <c r="AB58" s="79">
        <f t="shared" ref="AB58" si="110">AB309</f>
        <v>0</v>
      </c>
      <c r="AC58" s="79">
        <v>2</v>
      </c>
    </row>
    <row r="59" spans="1:29" s="51" customFormat="1" ht="10.5" customHeight="1">
      <c r="A59" s="67"/>
      <c r="B59" s="68"/>
      <c r="C59" s="68" t="s">
        <v>22</v>
      </c>
      <c r="D59" s="69">
        <f t="shared" ref="D59:AC59" si="111">SUM(D56:D58)</f>
        <v>3665</v>
      </c>
      <c r="E59" s="69">
        <f t="shared" si="111"/>
        <v>4071</v>
      </c>
      <c r="F59" s="69">
        <f t="shared" si="111"/>
        <v>6650</v>
      </c>
      <c r="G59" s="69">
        <f t="shared" si="111"/>
        <v>4902</v>
      </c>
      <c r="H59" s="69">
        <f t="shared" si="111"/>
        <v>4917</v>
      </c>
      <c r="I59" s="69">
        <f t="shared" si="111"/>
        <v>5084</v>
      </c>
      <c r="J59" s="69">
        <f t="shared" si="111"/>
        <v>5792</v>
      </c>
      <c r="K59" s="69">
        <f t="shared" si="111"/>
        <v>5598</v>
      </c>
      <c r="L59" s="69">
        <f t="shared" si="111"/>
        <v>6737</v>
      </c>
      <c r="M59" s="69">
        <f t="shared" si="111"/>
        <v>7009</v>
      </c>
      <c r="N59" s="69">
        <f t="shared" si="111"/>
        <v>7351</v>
      </c>
      <c r="O59" s="69">
        <f t="shared" si="111"/>
        <v>7084</v>
      </c>
      <c r="P59" s="69">
        <f t="shared" si="111"/>
        <v>6647</v>
      </c>
      <c r="Q59" s="69">
        <f t="shared" si="111"/>
        <v>6869</v>
      </c>
      <c r="R59" s="69">
        <f t="shared" si="111"/>
        <v>8924</v>
      </c>
      <c r="S59" s="69">
        <f t="shared" si="111"/>
        <v>9370</v>
      </c>
      <c r="T59" s="69">
        <f t="shared" si="111"/>
        <v>11059</v>
      </c>
      <c r="U59" s="80">
        <f t="shared" ref="U59:AB59" si="112">SUM(U56:U58)</f>
        <v>10868</v>
      </c>
      <c r="V59" s="80">
        <f t="shared" si="112"/>
        <v>10145</v>
      </c>
      <c r="W59" s="80">
        <f t="shared" si="112"/>
        <v>11128</v>
      </c>
      <c r="X59" s="80">
        <f t="shared" si="112"/>
        <v>14115</v>
      </c>
      <c r="Y59" s="80">
        <f t="shared" si="112"/>
        <v>17889</v>
      </c>
      <c r="Z59" s="80">
        <f t="shared" si="112"/>
        <v>20411</v>
      </c>
      <c r="AA59" s="80">
        <f t="shared" si="112"/>
        <v>8974</v>
      </c>
      <c r="AB59" s="80">
        <f t="shared" si="112"/>
        <v>8673</v>
      </c>
      <c r="AC59" s="80">
        <f t="shared" si="111"/>
        <v>8733</v>
      </c>
    </row>
    <row r="60" spans="1:29" s="70" customFormat="1" ht="15" customHeight="1">
      <c r="A60" s="70" t="s">
        <v>44</v>
      </c>
      <c r="U60" s="81"/>
      <c r="V60" s="81"/>
      <c r="W60" s="81"/>
      <c r="X60" s="81"/>
      <c r="Y60" s="81"/>
      <c r="Z60" s="81"/>
      <c r="AA60" s="81"/>
      <c r="AB60" s="81"/>
      <c r="AC60" s="81"/>
    </row>
    <row r="61" spans="1:29" s="48" customFormat="1" ht="10.5" customHeight="1">
      <c r="B61" s="48" t="s">
        <v>36</v>
      </c>
      <c r="D61" s="57">
        <f>D7+D13+D18+D23+D28+D34+D44+D56</f>
        <v>363661</v>
      </c>
      <c r="E61" s="57">
        <f>E7+E13+E18+E23+E28+E34+E44+E56</f>
        <v>355707</v>
      </c>
      <c r="F61" s="57">
        <f t="shared" ref="F61:K61" si="113">F313</f>
        <v>357571</v>
      </c>
      <c r="G61" s="57">
        <f t="shared" si="113"/>
        <v>347083</v>
      </c>
      <c r="H61" s="57">
        <f t="shared" si="113"/>
        <v>346880</v>
      </c>
      <c r="I61" s="57">
        <f t="shared" si="113"/>
        <v>349988</v>
      </c>
      <c r="J61" s="57">
        <f t="shared" si="113"/>
        <v>361153</v>
      </c>
      <c r="K61" s="57">
        <f t="shared" si="113"/>
        <v>362460</v>
      </c>
      <c r="L61" s="57">
        <f t="shared" ref="L61:M64" si="114">L313</f>
        <v>370362</v>
      </c>
      <c r="M61" s="57">
        <f t="shared" si="114"/>
        <v>384127</v>
      </c>
      <c r="N61" s="57">
        <f t="shared" ref="N61:O64" si="115">N313</f>
        <v>402370</v>
      </c>
      <c r="O61" s="57">
        <f t="shared" si="115"/>
        <v>399067</v>
      </c>
      <c r="P61" s="57">
        <f t="shared" ref="P61:R64" si="116">P313</f>
        <v>372661</v>
      </c>
      <c r="Q61" s="57">
        <f t="shared" si="116"/>
        <v>353578</v>
      </c>
      <c r="R61" s="57">
        <f t="shared" si="116"/>
        <v>342913</v>
      </c>
      <c r="S61" s="57">
        <f t="shared" ref="S61:V64" si="117">S313</f>
        <v>341579</v>
      </c>
      <c r="T61" s="57">
        <f t="shared" si="117"/>
        <v>357221</v>
      </c>
      <c r="U61" s="82">
        <f t="shared" si="117"/>
        <v>378681</v>
      </c>
      <c r="V61" s="82">
        <f t="shared" si="117"/>
        <v>392835</v>
      </c>
      <c r="W61" s="82">
        <f>W313</f>
        <v>401307</v>
      </c>
      <c r="X61" s="82">
        <f t="shared" ref="X61:Z64" si="118">X313</f>
        <v>426002</v>
      </c>
      <c r="Y61" s="82">
        <f t="shared" si="118"/>
        <v>453376</v>
      </c>
      <c r="Z61" s="82">
        <f t="shared" si="118"/>
        <v>490161</v>
      </c>
      <c r="AA61" s="82">
        <f t="shared" ref="AA61:AA64" si="119">AA313</f>
        <v>508499.94</v>
      </c>
      <c r="AB61" s="82">
        <f>AB313</f>
        <v>518002.97</v>
      </c>
      <c r="AC61" s="151">
        <f>AC56+AC44+AC39+AC28+AC18+AC13+AC7</f>
        <v>514874.53460000001</v>
      </c>
    </row>
    <row r="62" spans="1:29" s="48" customFormat="1" ht="10.5" customHeight="1">
      <c r="B62" s="48" t="s">
        <v>37</v>
      </c>
      <c r="D62" s="57">
        <f>SUM(D8+D14+D19+D24+D29+D35+D45+D57)</f>
        <v>242132</v>
      </c>
      <c r="E62" s="57">
        <f>SUM(E8+E14+E19+E24+E29+E35+E45+E57)</f>
        <v>244514</v>
      </c>
      <c r="F62" s="57">
        <f t="shared" ref="F62:K64" si="120">F314</f>
        <v>238842</v>
      </c>
      <c r="G62" s="57">
        <f t="shared" si="120"/>
        <v>233968</v>
      </c>
      <c r="H62" s="57">
        <f t="shared" si="120"/>
        <v>233119</v>
      </c>
      <c r="I62" s="57">
        <f t="shared" si="120"/>
        <v>234690</v>
      </c>
      <c r="J62" s="57">
        <f t="shared" si="120"/>
        <v>240890</v>
      </c>
      <c r="K62" s="57">
        <f t="shared" si="120"/>
        <v>244709</v>
      </c>
      <c r="L62" s="57">
        <f t="shared" si="114"/>
        <v>248659</v>
      </c>
      <c r="M62" s="57">
        <f t="shared" si="114"/>
        <v>254136</v>
      </c>
      <c r="N62" s="57">
        <f t="shared" si="115"/>
        <v>269445</v>
      </c>
      <c r="O62" s="57">
        <f t="shared" si="115"/>
        <v>272251</v>
      </c>
      <c r="P62" s="57">
        <f t="shared" si="116"/>
        <v>278629</v>
      </c>
      <c r="Q62" s="57">
        <f t="shared" si="116"/>
        <v>273415</v>
      </c>
      <c r="R62" s="57">
        <f t="shared" si="116"/>
        <v>264079</v>
      </c>
      <c r="S62" s="57">
        <f t="shared" si="117"/>
        <v>251217</v>
      </c>
      <c r="T62" s="57">
        <f t="shared" si="117"/>
        <v>252191</v>
      </c>
      <c r="U62" s="82">
        <f t="shared" si="117"/>
        <v>255988</v>
      </c>
      <c r="V62" s="82">
        <f t="shared" si="117"/>
        <v>271119</v>
      </c>
      <c r="W62" s="82">
        <f>W314</f>
        <v>279727</v>
      </c>
      <c r="X62" s="82">
        <f t="shared" si="118"/>
        <v>297839</v>
      </c>
      <c r="Y62" s="82">
        <f t="shared" si="118"/>
        <v>308772</v>
      </c>
      <c r="Z62" s="82">
        <f t="shared" si="118"/>
        <v>326074</v>
      </c>
      <c r="AA62" s="82">
        <f t="shared" si="119"/>
        <v>345934.77</v>
      </c>
      <c r="AB62" s="82">
        <f t="shared" ref="AB62" si="121">AB314</f>
        <v>364544.85999999993</v>
      </c>
      <c r="AC62" s="151">
        <f>AC57+AC51+AC45+AC40+AC29+AC19+AC14+AC8</f>
        <v>380836.99300000002</v>
      </c>
    </row>
    <row r="63" spans="1:29" s="48" customFormat="1" ht="10.5" customHeight="1">
      <c r="B63" s="48" t="s">
        <v>39</v>
      </c>
      <c r="D63" s="57">
        <f>SUM(D52)</f>
        <v>11652</v>
      </c>
      <c r="E63" s="57">
        <f>SUM(E52)</f>
        <v>12845</v>
      </c>
      <c r="F63" s="57">
        <f t="shared" si="120"/>
        <v>14548</v>
      </c>
      <c r="G63" s="57">
        <f t="shared" si="120"/>
        <v>15281</v>
      </c>
      <c r="H63" s="57">
        <f t="shared" si="120"/>
        <v>16109</v>
      </c>
      <c r="I63" s="57">
        <f t="shared" si="120"/>
        <v>16084</v>
      </c>
      <c r="J63" s="57">
        <f t="shared" si="120"/>
        <v>16985</v>
      </c>
      <c r="K63" s="57">
        <f t="shared" si="120"/>
        <v>16065</v>
      </c>
      <c r="L63" s="57">
        <f t="shared" si="114"/>
        <v>16262</v>
      </c>
      <c r="M63" s="57">
        <f t="shared" si="114"/>
        <v>16176</v>
      </c>
      <c r="N63" s="57">
        <f t="shared" si="115"/>
        <v>16692</v>
      </c>
      <c r="O63" s="57">
        <f t="shared" si="115"/>
        <v>16468</v>
      </c>
      <c r="P63" s="57">
        <f t="shared" si="116"/>
        <v>16696</v>
      </c>
      <c r="Q63" s="57">
        <f t="shared" si="116"/>
        <v>16837</v>
      </c>
      <c r="R63" s="57">
        <f t="shared" si="116"/>
        <v>17901</v>
      </c>
      <c r="S63" s="57">
        <f t="shared" si="117"/>
        <v>18191</v>
      </c>
      <c r="T63" s="57">
        <f t="shared" si="117"/>
        <v>19747</v>
      </c>
      <c r="U63" s="82">
        <f t="shared" si="117"/>
        <v>20056</v>
      </c>
      <c r="V63" s="82">
        <f t="shared" si="117"/>
        <v>22531</v>
      </c>
      <c r="W63" s="82">
        <f>W315</f>
        <v>23480</v>
      </c>
      <c r="X63" s="82">
        <f t="shared" si="118"/>
        <v>23944</v>
      </c>
      <c r="Y63" s="82">
        <f t="shared" si="118"/>
        <v>23989</v>
      </c>
      <c r="Z63" s="82">
        <f t="shared" si="118"/>
        <v>24304</v>
      </c>
      <c r="AA63" s="82">
        <f t="shared" si="119"/>
        <v>25798.359999999997</v>
      </c>
      <c r="AB63" s="82">
        <f t="shared" ref="AB63" si="122">AB315</f>
        <v>25356.61</v>
      </c>
      <c r="AC63" s="151">
        <f>AC52+AC46+AC30+AC9</f>
        <v>25995.166799999999</v>
      </c>
    </row>
    <row r="64" spans="1:29" s="48" customFormat="1" ht="10.5" customHeight="1">
      <c r="B64" s="58" t="s">
        <v>38</v>
      </c>
      <c r="C64" s="58"/>
      <c r="D64" s="57">
        <f>D10+D15+D20+D25+D31+D36+D47+D53+D58</f>
        <v>68180</v>
      </c>
      <c r="E64" s="57">
        <f>E10+E15+E20+E25+E31+E36+E47+E53+E58</f>
        <v>69968</v>
      </c>
      <c r="F64" s="57">
        <f t="shared" si="120"/>
        <v>70090</v>
      </c>
      <c r="G64" s="57">
        <f t="shared" si="120"/>
        <v>69926</v>
      </c>
      <c r="H64" s="57">
        <f t="shared" si="120"/>
        <v>67289</v>
      </c>
      <c r="I64" s="57">
        <f t="shared" si="120"/>
        <v>67650</v>
      </c>
      <c r="J64" s="57">
        <f t="shared" si="120"/>
        <v>65922</v>
      </c>
      <c r="K64" s="57">
        <f t="shared" si="120"/>
        <v>63186</v>
      </c>
      <c r="L64" s="57">
        <f t="shared" si="114"/>
        <v>63693</v>
      </c>
      <c r="M64" s="57">
        <f t="shared" si="114"/>
        <v>64204</v>
      </c>
      <c r="N64" s="57">
        <f t="shared" si="115"/>
        <v>65128</v>
      </c>
      <c r="O64" s="57">
        <f t="shared" si="115"/>
        <v>68987</v>
      </c>
      <c r="P64" s="57">
        <f t="shared" si="116"/>
        <v>72434</v>
      </c>
      <c r="Q64" s="57">
        <f t="shared" si="116"/>
        <v>70930</v>
      </c>
      <c r="R64" s="57">
        <f t="shared" si="116"/>
        <v>68991</v>
      </c>
      <c r="S64" s="57">
        <f t="shared" si="117"/>
        <v>68483</v>
      </c>
      <c r="T64" s="57">
        <f t="shared" si="117"/>
        <v>72451</v>
      </c>
      <c r="U64" s="82">
        <f t="shared" si="117"/>
        <v>74687</v>
      </c>
      <c r="V64" s="82">
        <f t="shared" si="117"/>
        <v>79370</v>
      </c>
      <c r="W64" s="82">
        <f>W316</f>
        <v>80669</v>
      </c>
      <c r="X64" s="82">
        <f t="shared" si="118"/>
        <v>76869</v>
      </c>
      <c r="Y64" s="82">
        <f t="shared" si="118"/>
        <v>78173</v>
      </c>
      <c r="Z64" s="82">
        <f t="shared" si="118"/>
        <v>81196</v>
      </c>
      <c r="AA64" s="82">
        <f t="shared" si="119"/>
        <v>82751.22</v>
      </c>
      <c r="AB64" s="82">
        <f t="shared" ref="AB64" si="123">AB316</f>
        <v>85173.390000000014</v>
      </c>
      <c r="AC64" s="151">
        <f>AC58+AC53+AC47+AC41+AC31+AC20+AC15+AC10</f>
        <v>82432.16339999999</v>
      </c>
    </row>
    <row r="65" spans="1:30" s="48" customFormat="1" ht="10.5" customHeight="1">
      <c r="C65" s="48" t="s">
        <v>22</v>
      </c>
      <c r="D65" s="57">
        <f t="shared" ref="D65:T65" si="124">SUM(D61:D64)</f>
        <v>685625</v>
      </c>
      <c r="E65" s="57">
        <f t="shared" si="124"/>
        <v>683034</v>
      </c>
      <c r="F65" s="57">
        <f t="shared" si="124"/>
        <v>681051</v>
      </c>
      <c r="G65" s="57">
        <f t="shared" si="124"/>
        <v>666258</v>
      </c>
      <c r="H65" s="57">
        <f t="shared" si="124"/>
        <v>663397</v>
      </c>
      <c r="I65" s="57">
        <f t="shared" si="124"/>
        <v>668412</v>
      </c>
      <c r="J65" s="57">
        <f t="shared" si="124"/>
        <v>684950</v>
      </c>
      <c r="K65" s="57">
        <f t="shared" si="124"/>
        <v>686420</v>
      </c>
      <c r="L65" s="57">
        <f t="shared" si="124"/>
        <v>698976</v>
      </c>
      <c r="M65" s="57">
        <f t="shared" si="124"/>
        <v>718643</v>
      </c>
      <c r="N65" s="57">
        <f t="shared" si="124"/>
        <v>753635</v>
      </c>
      <c r="O65" s="57">
        <f t="shared" si="124"/>
        <v>756773</v>
      </c>
      <c r="P65" s="57">
        <f t="shared" si="124"/>
        <v>740420</v>
      </c>
      <c r="Q65" s="57">
        <f t="shared" si="124"/>
        <v>714760</v>
      </c>
      <c r="R65" s="57">
        <f t="shared" si="124"/>
        <v>693884</v>
      </c>
      <c r="S65" s="57">
        <f t="shared" si="124"/>
        <v>679470</v>
      </c>
      <c r="T65" s="57">
        <f t="shared" si="124"/>
        <v>701610</v>
      </c>
      <c r="U65" s="82">
        <f t="shared" ref="U65:AA65" si="125">SUM(U61:U64)</f>
        <v>729412</v>
      </c>
      <c r="V65" s="82">
        <f t="shared" si="125"/>
        <v>765855</v>
      </c>
      <c r="W65" s="82">
        <f t="shared" si="125"/>
        <v>785183</v>
      </c>
      <c r="X65" s="82">
        <f t="shared" si="125"/>
        <v>824654</v>
      </c>
      <c r="Y65" s="82">
        <f t="shared" si="125"/>
        <v>864310</v>
      </c>
      <c r="Z65" s="82">
        <f t="shared" si="125"/>
        <v>921735</v>
      </c>
      <c r="AA65" s="82">
        <f t="shared" si="125"/>
        <v>962984.28999999992</v>
      </c>
      <c r="AB65" s="82">
        <f>SUM(AB61:AB64)</f>
        <v>993077.82999999984</v>
      </c>
      <c r="AC65" s="151">
        <f>SUM(AC61:AC64)</f>
        <v>1004138.8578</v>
      </c>
      <c r="AD65" s="102"/>
    </row>
    <row r="66" spans="1:30" s="54" customFormat="1" ht="6.75" customHeight="1"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</row>
    <row r="67" spans="1:30" s="62" customFormat="1" ht="14.25">
      <c r="A67" s="60" t="s">
        <v>72</v>
      </c>
      <c r="B67" s="44"/>
      <c r="C67" s="44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</row>
    <row r="68" spans="1:30" s="65" customFormat="1" ht="14.25">
      <c r="A68" s="60" t="s">
        <v>121</v>
      </c>
      <c r="B68" s="44"/>
      <c r="C68" s="44"/>
      <c r="D68" s="63"/>
      <c r="E68" s="63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</row>
    <row r="69" spans="1:30" s="65" customFormat="1" ht="14.25">
      <c r="A69" s="60" t="s">
        <v>84</v>
      </c>
      <c r="B69" s="44"/>
      <c r="C69" s="44"/>
      <c r="D69" s="63"/>
      <c r="E69" s="63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</row>
    <row r="70" spans="1:30" s="51" customFormat="1" ht="12" customHeight="1">
      <c r="A70" s="101"/>
      <c r="B70" s="50" t="s">
        <v>85</v>
      </c>
      <c r="C70" s="101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</row>
    <row r="71" spans="1:30" s="65" customFormat="1" ht="14.25">
      <c r="A71" s="60" t="s">
        <v>80</v>
      </c>
      <c r="B71" s="44"/>
      <c r="C71" s="44"/>
      <c r="D71" s="63"/>
      <c r="E71" s="63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</row>
    <row r="72" spans="1:30" s="65" customFormat="1" ht="18" customHeight="1">
      <c r="A72" s="60"/>
      <c r="B72" s="44"/>
      <c r="C72" s="44"/>
      <c r="D72" s="63"/>
      <c r="E72" s="63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</row>
    <row r="73" spans="1:30" s="65" customFormat="1" ht="14.25">
      <c r="A73" s="66" t="s">
        <v>13</v>
      </c>
      <c r="B73" s="44"/>
      <c r="C73" s="44"/>
      <c r="D73" s="63"/>
      <c r="E73" s="63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</row>
    <row r="74" spans="1:30" s="29" customFormat="1" ht="13.5" customHeight="1">
      <c r="A74" s="157" t="s">
        <v>120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</row>
    <row r="75" spans="1:30" s="5" customFormat="1" ht="12.75" customHeight="1" thickBot="1">
      <c r="A75" s="38" t="s">
        <v>14</v>
      </c>
      <c r="B75" s="38"/>
      <c r="C75" s="38"/>
      <c r="D75" s="39"/>
      <c r="E75" s="39"/>
      <c r="F75" s="39" t="s">
        <v>15</v>
      </c>
      <c r="G75" s="39" t="s">
        <v>16</v>
      </c>
      <c r="H75" s="39" t="s">
        <v>17</v>
      </c>
      <c r="I75" s="39" t="s">
        <v>18</v>
      </c>
      <c r="J75" s="39" t="s">
        <v>23</v>
      </c>
      <c r="K75" s="39" t="s">
        <v>25</v>
      </c>
      <c r="L75" s="39" t="s">
        <v>26</v>
      </c>
      <c r="M75" s="39" t="s">
        <v>40</v>
      </c>
      <c r="N75" s="39" t="s">
        <v>46</v>
      </c>
      <c r="O75" s="39" t="s">
        <v>47</v>
      </c>
      <c r="P75" s="39" t="s">
        <v>48</v>
      </c>
      <c r="Q75" s="39" t="s">
        <v>52</v>
      </c>
      <c r="R75" s="40" t="s">
        <v>55</v>
      </c>
      <c r="S75" s="40" t="s">
        <v>57</v>
      </c>
      <c r="T75" s="40" t="s">
        <v>60</v>
      </c>
      <c r="U75" s="40" t="s">
        <v>63</v>
      </c>
      <c r="V75" s="40" t="s">
        <v>65</v>
      </c>
      <c r="W75" s="40" t="s">
        <v>67</v>
      </c>
      <c r="X75" s="40" t="s">
        <v>69</v>
      </c>
      <c r="Y75" s="40" t="s">
        <v>71</v>
      </c>
      <c r="Z75" s="40" t="s">
        <v>74</v>
      </c>
      <c r="AA75" s="40" t="s">
        <v>79</v>
      </c>
      <c r="AB75" s="40" t="s">
        <v>87</v>
      </c>
      <c r="AC75" s="40" t="s">
        <v>116</v>
      </c>
    </row>
    <row r="76" spans="1:30" s="5" customFormat="1" ht="12.75" customHeight="1">
      <c r="A76" s="23" t="s">
        <v>58</v>
      </c>
      <c r="B76" s="10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25"/>
      <c r="R76" s="25"/>
      <c r="S76" s="25"/>
      <c r="T76" s="25"/>
      <c r="U76" s="6"/>
      <c r="V76" s="6"/>
      <c r="W76" s="6"/>
      <c r="X76" s="6"/>
      <c r="Y76" s="6"/>
      <c r="Z76" s="6"/>
      <c r="AA76" s="6"/>
      <c r="AB76" s="6"/>
      <c r="AC76" s="6"/>
    </row>
    <row r="77" spans="1:30" s="5" customFormat="1" ht="12.75" customHeight="1">
      <c r="A77" s="10" t="s">
        <v>19</v>
      </c>
      <c r="B77" s="10"/>
      <c r="C77" s="10"/>
      <c r="D77" s="10"/>
      <c r="E77" s="10"/>
      <c r="F77" s="10">
        <f t="shared" ref="F77:K77" si="126">SUM(F78:F81)</f>
        <v>3546</v>
      </c>
      <c r="G77" s="10">
        <f t="shared" si="126"/>
        <v>3287</v>
      </c>
      <c r="H77" s="10">
        <f t="shared" si="126"/>
        <v>3332</v>
      </c>
      <c r="I77" s="10">
        <f t="shared" si="126"/>
        <v>2927</v>
      </c>
      <c r="J77" s="10">
        <f t="shared" si="126"/>
        <v>2889</v>
      </c>
      <c r="K77" s="10">
        <f t="shared" si="126"/>
        <v>3219</v>
      </c>
      <c r="L77" s="10">
        <f t="shared" ref="L77:R77" si="127">SUM(L78:L81)</f>
        <v>3124</v>
      </c>
      <c r="M77" s="10">
        <f t="shared" si="127"/>
        <v>3244</v>
      </c>
      <c r="N77" s="10">
        <f t="shared" si="127"/>
        <v>3146</v>
      </c>
      <c r="O77" s="10">
        <f t="shared" si="127"/>
        <v>3365</v>
      </c>
      <c r="P77" s="10">
        <f t="shared" si="127"/>
        <v>3266</v>
      </c>
      <c r="Q77" s="7">
        <f t="shared" si="127"/>
        <v>3231</v>
      </c>
      <c r="R77" s="7">
        <f t="shared" si="127"/>
        <v>3011</v>
      </c>
      <c r="S77" s="7">
        <f t="shared" ref="S77:AC77" si="128">SUM(S78:S81)</f>
        <v>3481</v>
      </c>
      <c r="T77" s="7">
        <f t="shared" si="128"/>
        <v>3351</v>
      </c>
      <c r="U77" s="7">
        <f t="shared" si="128"/>
        <v>3449</v>
      </c>
      <c r="V77" s="7">
        <f t="shared" si="128"/>
        <v>3751</v>
      </c>
      <c r="W77" s="5">
        <f t="shared" si="128"/>
        <v>3777</v>
      </c>
      <c r="X77" s="18">
        <f>SUM(X78:X81)</f>
        <v>2737</v>
      </c>
      <c r="Y77" s="18">
        <f>SUM(Y78:Y81)</f>
        <v>2904</v>
      </c>
      <c r="Z77" s="18">
        <f>SUM(Z78:Z81)</f>
        <v>3568</v>
      </c>
      <c r="AA77" s="18">
        <f>SUM(AA78:AA81)</f>
        <v>3888.77</v>
      </c>
      <c r="AB77" s="18">
        <f t="shared" ref="AB77" si="129">SUM(AB78:AB81)</f>
        <v>3885.7</v>
      </c>
      <c r="AC77" s="18">
        <f t="shared" si="128"/>
        <v>3852.88</v>
      </c>
    </row>
    <row r="78" spans="1:30" s="4" customFormat="1" ht="12.75" customHeight="1">
      <c r="A78" s="8" t="s">
        <v>2</v>
      </c>
      <c r="B78" s="8"/>
      <c r="C78" s="8"/>
      <c r="D78" s="8"/>
      <c r="E78" s="8"/>
      <c r="F78" s="12">
        <v>183</v>
      </c>
      <c r="G78" s="12">
        <f>94+6</f>
        <v>100</v>
      </c>
      <c r="H78" s="12">
        <f>75+10</f>
        <v>85</v>
      </c>
      <c r="I78" s="12">
        <v>95</v>
      </c>
      <c r="J78" s="12">
        <v>69</v>
      </c>
      <c r="K78" s="12">
        <v>316</v>
      </c>
      <c r="L78" s="12">
        <v>173</v>
      </c>
      <c r="M78" s="12">
        <v>184</v>
      </c>
      <c r="N78" s="12">
        <v>140</v>
      </c>
      <c r="O78" s="12">
        <v>228</v>
      </c>
      <c r="P78" s="21">
        <v>358</v>
      </c>
      <c r="Q78" s="21">
        <v>150</v>
      </c>
      <c r="R78" s="21">
        <v>20</v>
      </c>
      <c r="S78" s="21">
        <v>265</v>
      </c>
      <c r="T78" s="21">
        <v>282</v>
      </c>
      <c r="U78" s="21">
        <v>352</v>
      </c>
      <c r="V78" s="21">
        <v>293</v>
      </c>
      <c r="W78" s="19">
        <v>311</v>
      </c>
      <c r="X78" s="19">
        <v>402</v>
      </c>
      <c r="Y78" s="19">
        <v>368</v>
      </c>
      <c r="Z78" s="19">
        <v>623</v>
      </c>
      <c r="AA78" s="19">
        <v>656</v>
      </c>
      <c r="AB78" s="19">
        <v>591</v>
      </c>
      <c r="AC78" s="19">
        <v>536</v>
      </c>
    </row>
    <row r="79" spans="1:30" s="4" customFormat="1" ht="12.75" customHeight="1">
      <c r="A79" s="8" t="s">
        <v>3</v>
      </c>
      <c r="B79" s="8"/>
      <c r="C79" s="8"/>
      <c r="D79" s="8"/>
      <c r="E79" s="8"/>
      <c r="F79" s="12">
        <v>1108</v>
      </c>
      <c r="G79" s="12">
        <f>179+808</f>
        <v>987</v>
      </c>
      <c r="H79" s="12">
        <f>632+119</f>
        <v>751</v>
      </c>
      <c r="I79" s="12">
        <f>518+165</f>
        <v>683</v>
      </c>
      <c r="J79" s="12">
        <f>432+178</f>
        <v>610</v>
      </c>
      <c r="K79" s="12">
        <v>537</v>
      </c>
      <c r="L79" s="12">
        <v>637</v>
      </c>
      <c r="M79" s="12">
        <v>681</v>
      </c>
      <c r="N79" s="12">
        <v>590</v>
      </c>
      <c r="O79" s="12">
        <v>746</v>
      </c>
      <c r="P79" s="21">
        <v>605</v>
      </c>
      <c r="Q79" s="21">
        <v>685</v>
      </c>
      <c r="R79" s="21">
        <v>730</v>
      </c>
      <c r="S79" s="21">
        <v>686</v>
      </c>
      <c r="T79" s="21">
        <v>838</v>
      </c>
      <c r="U79" s="21">
        <v>915</v>
      </c>
      <c r="V79" s="21">
        <v>1183</v>
      </c>
      <c r="W79" s="20">
        <v>1478</v>
      </c>
      <c r="X79" s="20">
        <v>1676</v>
      </c>
      <c r="Y79" s="20">
        <v>1547</v>
      </c>
      <c r="Z79" s="20">
        <v>1809</v>
      </c>
      <c r="AA79" s="20">
        <v>1819.65</v>
      </c>
      <c r="AB79" s="20">
        <v>1966.7</v>
      </c>
      <c r="AC79" s="20">
        <v>1861.34</v>
      </c>
    </row>
    <row r="80" spans="1:30" s="4" customFormat="1" ht="12.75" customHeight="1">
      <c r="A80" s="8" t="s">
        <v>12</v>
      </c>
      <c r="B80" s="8"/>
      <c r="C80" s="8"/>
      <c r="D80" s="8"/>
      <c r="E80" s="8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21"/>
      <c r="Q80" s="21"/>
      <c r="R80" s="21"/>
      <c r="S80" s="21"/>
      <c r="T80" s="21"/>
      <c r="U80" s="21"/>
      <c r="V80" s="21"/>
      <c r="W80" s="20"/>
      <c r="X80" s="20"/>
      <c r="Y80" s="20"/>
      <c r="Z80" s="20"/>
      <c r="AA80" s="20">
        <v>0</v>
      </c>
      <c r="AB80" s="20">
        <v>0</v>
      </c>
      <c r="AC80" s="20">
        <v>0</v>
      </c>
    </row>
    <row r="81" spans="1:30" s="4" customFormat="1" ht="12.75" customHeight="1">
      <c r="A81" s="8" t="s">
        <v>24</v>
      </c>
      <c r="B81" s="8"/>
      <c r="C81" s="8"/>
      <c r="D81" s="8"/>
      <c r="E81" s="8"/>
      <c r="F81" s="12">
        <v>2255</v>
      </c>
      <c r="G81" s="12">
        <v>2200</v>
      </c>
      <c r="H81" s="12">
        <v>2496</v>
      </c>
      <c r="I81" s="12">
        <v>2149</v>
      </c>
      <c r="J81" s="12">
        <v>2210</v>
      </c>
      <c r="K81" s="12">
        <v>2366</v>
      </c>
      <c r="L81" s="12">
        <v>2314</v>
      </c>
      <c r="M81" s="12">
        <v>2379</v>
      </c>
      <c r="N81" s="12">
        <v>2416</v>
      </c>
      <c r="O81" s="12">
        <v>2391</v>
      </c>
      <c r="P81" s="21">
        <v>2303</v>
      </c>
      <c r="Q81" s="21">
        <v>2396</v>
      </c>
      <c r="R81" s="21">
        <v>2261</v>
      </c>
      <c r="S81" s="21">
        <v>2530</v>
      </c>
      <c r="T81" s="21">
        <v>2231</v>
      </c>
      <c r="U81" s="21">
        <v>2182</v>
      </c>
      <c r="V81" s="21">
        <v>2275</v>
      </c>
      <c r="W81" s="20">
        <v>1988</v>
      </c>
      <c r="X81" s="20">
        <v>659</v>
      </c>
      <c r="Y81" s="20">
        <v>989</v>
      </c>
      <c r="Z81" s="20">
        <v>1136</v>
      </c>
      <c r="AA81" s="20">
        <v>1413.12</v>
      </c>
      <c r="AB81" s="20">
        <v>1328</v>
      </c>
      <c r="AC81" s="20">
        <v>1455.54</v>
      </c>
    </row>
    <row r="82" spans="1:30" s="4" customFormat="1" ht="12.75" customHeight="1">
      <c r="A82" s="13"/>
      <c r="B82" s="13"/>
      <c r="C82" s="13"/>
      <c r="D82" s="8"/>
      <c r="E82" s="8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</row>
    <row r="83" spans="1:30" s="5" customFormat="1" ht="12.75" customHeight="1">
      <c r="A83" s="10" t="s">
        <v>20</v>
      </c>
      <c r="B83" s="10"/>
      <c r="C83" s="10"/>
      <c r="D83" s="10"/>
      <c r="E83" s="10"/>
      <c r="F83" s="10">
        <f t="shared" ref="F83:K83" si="130">SUM(F84:F87)</f>
        <v>26699</v>
      </c>
      <c r="G83" s="10">
        <f t="shared" si="130"/>
        <v>26993</v>
      </c>
      <c r="H83" s="10">
        <f t="shared" si="130"/>
        <v>27652</v>
      </c>
      <c r="I83" s="10">
        <f t="shared" si="130"/>
        <v>28352</v>
      </c>
      <c r="J83" s="10">
        <f t="shared" si="130"/>
        <v>28179</v>
      </c>
      <c r="K83" s="10">
        <f t="shared" si="130"/>
        <v>30979</v>
      </c>
      <c r="L83" s="10">
        <f t="shared" ref="L83:R83" si="131">SUM(L84:L87)</f>
        <v>30963</v>
      </c>
      <c r="M83" s="10">
        <f t="shared" si="131"/>
        <v>29535</v>
      </c>
      <c r="N83" s="10">
        <f t="shared" si="131"/>
        <v>30326</v>
      </c>
      <c r="O83" s="10">
        <f t="shared" si="131"/>
        <v>30536</v>
      </c>
      <c r="P83" s="9">
        <f t="shared" si="131"/>
        <v>29676</v>
      </c>
      <c r="Q83" s="9">
        <f t="shared" si="131"/>
        <v>29253</v>
      </c>
      <c r="R83" s="9">
        <f t="shared" si="131"/>
        <v>29039</v>
      </c>
      <c r="S83" s="9">
        <f t="shared" ref="S83:Z83" si="132">SUM(S84:S87)</f>
        <v>28179</v>
      </c>
      <c r="T83" s="9">
        <f t="shared" si="132"/>
        <v>30839</v>
      </c>
      <c r="U83" s="9">
        <f t="shared" si="132"/>
        <v>31944</v>
      </c>
      <c r="V83" s="9">
        <f t="shared" si="132"/>
        <v>38346</v>
      </c>
      <c r="W83" s="9">
        <f t="shared" si="132"/>
        <v>39365</v>
      </c>
      <c r="X83" s="9">
        <f t="shared" si="132"/>
        <v>39808</v>
      </c>
      <c r="Y83" s="9">
        <f t="shared" si="132"/>
        <v>43903</v>
      </c>
      <c r="Z83" s="9">
        <f t="shared" si="132"/>
        <v>48203</v>
      </c>
      <c r="AA83" s="9">
        <f>SUM(AA84:AA87)</f>
        <v>54741.36</v>
      </c>
      <c r="AB83" s="9">
        <f>SUM(AB84:AB87)</f>
        <v>56391.409999999996</v>
      </c>
      <c r="AC83" s="9">
        <f>SUM(AC84:AC87)</f>
        <v>56170.080000000002</v>
      </c>
    </row>
    <row r="84" spans="1:30" s="4" customFormat="1" ht="12.75" customHeight="1">
      <c r="A84" s="8" t="s">
        <v>2</v>
      </c>
      <c r="B84" s="8"/>
      <c r="C84" s="8"/>
      <c r="D84" s="8"/>
      <c r="E84" s="8"/>
      <c r="F84" s="12">
        <v>11158</v>
      </c>
      <c r="G84" s="12">
        <f>10813+163</f>
        <v>10976</v>
      </c>
      <c r="H84" s="12">
        <f>10132+196</f>
        <v>10328</v>
      </c>
      <c r="I84" s="12">
        <f>11068+210</f>
        <v>11278</v>
      </c>
      <c r="J84" s="12">
        <f>11334+311</f>
        <v>11645</v>
      </c>
      <c r="K84" s="12">
        <v>12670</v>
      </c>
      <c r="L84" s="12">
        <v>12251</v>
      </c>
      <c r="M84" s="12">
        <v>11378</v>
      </c>
      <c r="N84" s="12">
        <v>10462</v>
      </c>
      <c r="O84" s="12">
        <v>12042</v>
      </c>
      <c r="P84" s="21">
        <v>11696</v>
      </c>
      <c r="Q84" s="21">
        <v>11596</v>
      </c>
      <c r="R84" s="21">
        <v>11838</v>
      </c>
      <c r="S84" s="21">
        <v>11801</v>
      </c>
      <c r="T84" s="21">
        <v>13892</v>
      </c>
      <c r="U84" s="21">
        <v>14221</v>
      </c>
      <c r="V84" s="21">
        <v>19282</v>
      </c>
      <c r="W84" s="19">
        <v>20462</v>
      </c>
      <c r="X84" s="19">
        <v>19329</v>
      </c>
      <c r="Y84" s="19">
        <v>21875</v>
      </c>
      <c r="Z84" s="19">
        <v>24782</v>
      </c>
      <c r="AA84" s="19">
        <v>26411.41</v>
      </c>
      <c r="AB84" s="19">
        <v>27619.68</v>
      </c>
      <c r="AC84" s="19">
        <v>27001.11</v>
      </c>
    </row>
    <row r="85" spans="1:30" s="4" customFormat="1" ht="12.75" customHeight="1">
      <c r="A85" s="8" t="s">
        <v>3</v>
      </c>
      <c r="B85" s="8"/>
      <c r="C85" s="8"/>
      <c r="D85" s="8"/>
      <c r="E85" s="8"/>
      <c r="F85" s="12">
        <v>11343</v>
      </c>
      <c r="G85" s="12">
        <f>10686+720</f>
        <v>11406</v>
      </c>
      <c r="H85" s="12">
        <f>12160+737</f>
        <v>12897</v>
      </c>
      <c r="I85" s="12">
        <f>12382+661</f>
        <v>13043</v>
      </c>
      <c r="J85" s="12">
        <f>11742+655</f>
        <v>12397</v>
      </c>
      <c r="K85" s="12">
        <v>13585</v>
      </c>
      <c r="L85" s="12">
        <v>14251</v>
      </c>
      <c r="M85" s="12">
        <v>13747</v>
      </c>
      <c r="N85" s="12">
        <v>15668</v>
      </c>
      <c r="O85" s="12">
        <v>14162</v>
      </c>
      <c r="P85" s="21">
        <v>13804</v>
      </c>
      <c r="Q85" s="21">
        <v>13138</v>
      </c>
      <c r="R85" s="21">
        <v>12728</v>
      </c>
      <c r="S85" s="21">
        <v>12105</v>
      </c>
      <c r="T85" s="21">
        <v>12546</v>
      </c>
      <c r="U85" s="21">
        <v>13069</v>
      </c>
      <c r="V85" s="21">
        <v>14468</v>
      </c>
      <c r="W85" s="20">
        <v>14496</v>
      </c>
      <c r="X85" s="20">
        <v>16179</v>
      </c>
      <c r="Y85" s="20">
        <v>17454</v>
      </c>
      <c r="Z85" s="20">
        <v>18685</v>
      </c>
      <c r="AA85" s="20">
        <v>22794.99</v>
      </c>
      <c r="AB85" s="20">
        <v>23002.17</v>
      </c>
      <c r="AC85" s="20">
        <v>23850.85</v>
      </c>
    </row>
    <row r="86" spans="1:30" s="4" customFormat="1" ht="12.75" customHeight="1">
      <c r="A86" s="8" t="s">
        <v>12</v>
      </c>
      <c r="B86" s="8"/>
      <c r="C86" s="8"/>
      <c r="D86" s="8"/>
      <c r="E86" s="8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21"/>
      <c r="Q86" s="21"/>
      <c r="R86" s="21"/>
      <c r="S86" s="21"/>
      <c r="T86" s="21"/>
      <c r="U86" s="21"/>
      <c r="V86" s="21"/>
      <c r="W86" s="20"/>
      <c r="X86" s="20"/>
      <c r="Y86" s="20"/>
      <c r="Z86" s="20"/>
      <c r="AA86" s="20">
        <v>10.71</v>
      </c>
      <c r="AB86" s="20">
        <v>23.52</v>
      </c>
      <c r="AC86" s="20">
        <v>16.55</v>
      </c>
    </row>
    <row r="87" spans="1:30" s="4" customFormat="1" ht="12.75" customHeight="1">
      <c r="A87" s="8" t="s">
        <v>24</v>
      </c>
      <c r="B87" s="8"/>
      <c r="C87" s="8"/>
      <c r="D87" s="8"/>
      <c r="E87" s="8"/>
      <c r="F87" s="12">
        <v>4198</v>
      </c>
      <c r="G87" s="12">
        <v>4611</v>
      </c>
      <c r="H87" s="12">
        <v>4427</v>
      </c>
      <c r="I87" s="12">
        <v>4031</v>
      </c>
      <c r="J87" s="12">
        <v>4137</v>
      </c>
      <c r="K87" s="12">
        <v>4724</v>
      </c>
      <c r="L87" s="12">
        <v>4461</v>
      </c>
      <c r="M87" s="12">
        <v>4410</v>
      </c>
      <c r="N87" s="12">
        <v>4196</v>
      </c>
      <c r="O87" s="12">
        <v>4332</v>
      </c>
      <c r="P87" s="21">
        <v>4176</v>
      </c>
      <c r="Q87" s="21">
        <v>4519</v>
      </c>
      <c r="R87" s="21">
        <v>4473</v>
      </c>
      <c r="S87" s="21">
        <v>4273</v>
      </c>
      <c r="T87" s="21">
        <v>4401</v>
      </c>
      <c r="U87" s="21">
        <v>4654</v>
      </c>
      <c r="V87" s="21">
        <v>4596</v>
      </c>
      <c r="W87" s="20">
        <v>4407</v>
      </c>
      <c r="X87" s="20">
        <v>4300</v>
      </c>
      <c r="Y87" s="20">
        <v>4574</v>
      </c>
      <c r="Z87" s="20">
        <v>4736</v>
      </c>
      <c r="AA87" s="20">
        <v>5524.25</v>
      </c>
      <c r="AB87" s="20">
        <v>5746.04</v>
      </c>
      <c r="AC87" s="20">
        <v>5301.57</v>
      </c>
    </row>
    <row r="88" spans="1:30" s="4" customFormat="1" ht="12.75" customHeight="1">
      <c r="A88" s="13"/>
      <c r="B88" s="13"/>
      <c r="C88" s="13"/>
      <c r="D88" s="8"/>
      <c r="E88" s="8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21"/>
      <c r="Q88" s="21"/>
      <c r="R88" s="21"/>
      <c r="S88" s="21"/>
      <c r="T88" s="21"/>
      <c r="U88" s="21"/>
      <c r="V88" s="21"/>
      <c r="W88" s="12"/>
      <c r="X88" s="12"/>
      <c r="Y88" s="12"/>
      <c r="Z88" s="12"/>
      <c r="AA88" s="12"/>
      <c r="AB88" s="12"/>
      <c r="AC88" s="12"/>
    </row>
    <row r="89" spans="1:30" s="5" customFormat="1" ht="12.75" customHeight="1">
      <c r="A89" s="10" t="s">
        <v>21</v>
      </c>
      <c r="B89" s="10"/>
      <c r="C89" s="10"/>
      <c r="D89" s="10"/>
      <c r="E89" s="10"/>
      <c r="F89" s="10">
        <f t="shared" ref="F89:K89" si="133">SUM(F90:F93)</f>
        <v>24682</v>
      </c>
      <c r="G89" s="10">
        <f t="shared" si="133"/>
        <v>25817</v>
      </c>
      <c r="H89" s="10">
        <f t="shared" si="133"/>
        <v>25996</v>
      </c>
      <c r="I89" s="10">
        <f t="shared" si="133"/>
        <v>26337</v>
      </c>
      <c r="J89" s="10">
        <f t="shared" si="133"/>
        <v>24959</v>
      </c>
      <c r="K89" s="10">
        <f t="shared" si="133"/>
        <v>26030</v>
      </c>
      <c r="L89" s="10">
        <f t="shared" ref="L89:R89" si="134">SUM(L90:L93)</f>
        <v>27254</v>
      </c>
      <c r="M89" s="10">
        <f t="shared" si="134"/>
        <v>26307</v>
      </c>
      <c r="N89" s="10">
        <f t="shared" si="134"/>
        <v>27383</v>
      </c>
      <c r="O89" s="10">
        <f t="shared" si="134"/>
        <v>27113</v>
      </c>
      <c r="P89" s="9">
        <f t="shared" si="134"/>
        <v>24589</v>
      </c>
      <c r="Q89" s="9">
        <f t="shared" si="134"/>
        <v>28024</v>
      </c>
      <c r="R89" s="9">
        <f t="shared" si="134"/>
        <v>24750</v>
      </c>
      <c r="S89" s="9">
        <f t="shared" ref="S89:Z89" si="135">SUM(S90:S93)</f>
        <v>25080</v>
      </c>
      <c r="T89" s="9">
        <f t="shared" si="135"/>
        <v>27305</v>
      </c>
      <c r="U89" s="9">
        <f t="shared" si="135"/>
        <v>30165</v>
      </c>
      <c r="V89" s="9">
        <f t="shared" si="135"/>
        <v>31623</v>
      </c>
      <c r="W89" s="10">
        <f t="shared" si="135"/>
        <v>32852</v>
      </c>
      <c r="X89" s="10">
        <f t="shared" si="135"/>
        <v>36160</v>
      </c>
      <c r="Y89" s="10">
        <f t="shared" si="135"/>
        <v>41483</v>
      </c>
      <c r="Z89" s="10">
        <f t="shared" si="135"/>
        <v>41142</v>
      </c>
      <c r="AA89" s="10">
        <f>SUM(AA90:AA93)</f>
        <v>50604.700000000004</v>
      </c>
      <c r="AB89" s="10">
        <f>SUM(AB90:AB93)</f>
        <v>51417.479999999996</v>
      </c>
      <c r="AC89" s="10">
        <f>SUM(AC90:AC93)</f>
        <v>50938.55</v>
      </c>
      <c r="AD89" s="152"/>
    </row>
    <row r="90" spans="1:30" s="4" customFormat="1" ht="12.75" customHeight="1">
      <c r="A90" s="8" t="s">
        <v>2</v>
      </c>
      <c r="B90" s="8"/>
      <c r="C90" s="8"/>
      <c r="D90" s="8"/>
      <c r="E90" s="8"/>
      <c r="F90" s="12">
        <v>8510</v>
      </c>
      <c r="G90" s="12">
        <f>8349+87</f>
        <v>8436</v>
      </c>
      <c r="H90" s="12">
        <f>8502+35</f>
        <v>8537</v>
      </c>
      <c r="I90" s="12">
        <f>8637+61</f>
        <v>8698</v>
      </c>
      <c r="J90" s="12">
        <v>7832</v>
      </c>
      <c r="K90" s="12">
        <v>8248</v>
      </c>
      <c r="L90" s="12">
        <v>8518</v>
      </c>
      <c r="M90" s="12">
        <v>8143</v>
      </c>
      <c r="N90" s="12">
        <v>8011</v>
      </c>
      <c r="O90" s="12">
        <v>8580</v>
      </c>
      <c r="P90" s="21">
        <v>8145</v>
      </c>
      <c r="Q90" s="21">
        <v>10349</v>
      </c>
      <c r="R90" s="21">
        <v>9171</v>
      </c>
      <c r="S90" s="21">
        <v>9491</v>
      </c>
      <c r="T90" s="21">
        <v>11117</v>
      </c>
      <c r="U90" s="21">
        <v>12600</v>
      </c>
      <c r="V90" s="21">
        <v>12737</v>
      </c>
      <c r="W90" s="19">
        <v>13198</v>
      </c>
      <c r="X90" s="19">
        <v>14881</v>
      </c>
      <c r="Y90" s="19">
        <v>18305</v>
      </c>
      <c r="Z90" s="19">
        <v>16077</v>
      </c>
      <c r="AA90" s="19">
        <v>21861.85</v>
      </c>
      <c r="AB90" s="19">
        <v>22500.1</v>
      </c>
      <c r="AC90" s="19">
        <v>20964.169999999998</v>
      </c>
    </row>
    <row r="91" spans="1:30" s="4" customFormat="1" ht="12.75" customHeight="1">
      <c r="A91" s="8" t="s">
        <v>3</v>
      </c>
      <c r="B91" s="8"/>
      <c r="C91" s="8"/>
      <c r="D91" s="8"/>
      <c r="E91" s="8"/>
      <c r="F91" s="12">
        <v>11716</v>
      </c>
      <c r="G91" s="12">
        <f>11597+582</f>
        <v>12179</v>
      </c>
      <c r="H91" s="12">
        <f>12400+462</f>
        <v>12862</v>
      </c>
      <c r="I91" s="12">
        <f>12611+446</f>
        <v>13057</v>
      </c>
      <c r="J91" s="12">
        <v>12355</v>
      </c>
      <c r="K91" s="12">
        <v>12862</v>
      </c>
      <c r="L91" s="12">
        <v>13911</v>
      </c>
      <c r="M91" s="12">
        <v>13874</v>
      </c>
      <c r="N91" s="12">
        <v>14635</v>
      </c>
      <c r="O91" s="12">
        <v>13977</v>
      </c>
      <c r="P91" s="21">
        <v>11913</v>
      </c>
      <c r="Q91" s="21">
        <v>12862</v>
      </c>
      <c r="R91" s="21">
        <v>10851</v>
      </c>
      <c r="S91" s="21">
        <v>11203</v>
      </c>
      <c r="T91" s="21">
        <v>11683</v>
      </c>
      <c r="U91" s="21">
        <v>12969</v>
      </c>
      <c r="V91" s="21">
        <v>14180</v>
      </c>
      <c r="W91" s="20">
        <v>14777</v>
      </c>
      <c r="X91" s="20">
        <v>16702</v>
      </c>
      <c r="Y91" s="20">
        <v>18519</v>
      </c>
      <c r="Z91" s="20">
        <v>20032</v>
      </c>
      <c r="AA91" s="20">
        <v>23014.06</v>
      </c>
      <c r="AB91" s="20">
        <v>23265.3</v>
      </c>
      <c r="AC91" s="20">
        <v>24537.65</v>
      </c>
    </row>
    <row r="92" spans="1:30" s="4" customFormat="1" ht="12.75" customHeight="1">
      <c r="A92" s="8" t="s">
        <v>12</v>
      </c>
      <c r="B92" s="8"/>
      <c r="C92" s="8"/>
      <c r="D92" s="8"/>
      <c r="E92" s="8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21"/>
      <c r="Q92" s="21"/>
      <c r="R92" s="21"/>
      <c r="S92" s="21"/>
      <c r="T92" s="21"/>
      <c r="U92" s="21"/>
      <c r="V92" s="21"/>
      <c r="W92" s="20"/>
      <c r="X92" s="20"/>
      <c r="Y92" s="20"/>
      <c r="Z92" s="20"/>
      <c r="AA92" s="20">
        <v>23.73</v>
      </c>
      <c r="AB92" s="20">
        <v>29.91</v>
      </c>
      <c r="AC92" s="20">
        <v>31.55</v>
      </c>
    </row>
    <row r="93" spans="1:30" s="4" customFormat="1" ht="12.75" customHeight="1">
      <c r="A93" s="8" t="s">
        <v>24</v>
      </c>
      <c r="B93" s="8"/>
      <c r="C93" s="8"/>
      <c r="D93" s="8"/>
      <c r="E93" s="8"/>
      <c r="F93" s="12">
        <v>4456</v>
      </c>
      <c r="G93" s="12">
        <v>5202</v>
      </c>
      <c r="H93" s="12">
        <v>4597</v>
      </c>
      <c r="I93" s="12">
        <v>4582</v>
      </c>
      <c r="J93" s="12">
        <v>4772</v>
      </c>
      <c r="K93" s="12">
        <v>4920</v>
      </c>
      <c r="L93" s="12">
        <v>4825</v>
      </c>
      <c r="M93" s="12">
        <v>4290</v>
      </c>
      <c r="N93" s="12">
        <v>4737</v>
      </c>
      <c r="O93" s="12">
        <v>4556</v>
      </c>
      <c r="P93" s="21">
        <v>4531</v>
      </c>
      <c r="Q93" s="21">
        <v>4813</v>
      </c>
      <c r="R93" s="21">
        <v>4728</v>
      </c>
      <c r="S93" s="21">
        <v>4386</v>
      </c>
      <c r="T93" s="21">
        <v>4505</v>
      </c>
      <c r="U93" s="21">
        <v>4596</v>
      </c>
      <c r="V93" s="21">
        <v>4706</v>
      </c>
      <c r="W93" s="20">
        <v>4877</v>
      </c>
      <c r="X93" s="20">
        <v>4577</v>
      </c>
      <c r="Y93" s="20">
        <v>4659</v>
      </c>
      <c r="Z93" s="20">
        <v>5033</v>
      </c>
      <c r="AA93" s="20">
        <v>5705.06</v>
      </c>
      <c r="AB93" s="20">
        <v>5622.17</v>
      </c>
      <c r="AC93" s="20">
        <v>5405.18</v>
      </c>
    </row>
    <row r="94" spans="1:30" s="4" customFormat="1" ht="12.75" customHeight="1">
      <c r="A94" s="13"/>
      <c r="B94" s="13"/>
      <c r="C94" s="13"/>
      <c r="D94" s="8"/>
      <c r="E94" s="8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21"/>
      <c r="Q94" s="21"/>
      <c r="R94" s="21"/>
      <c r="S94" s="21"/>
      <c r="T94" s="21"/>
      <c r="U94" s="21"/>
      <c r="V94" s="21"/>
      <c r="W94" s="12"/>
      <c r="X94" s="12"/>
      <c r="Y94" s="12"/>
      <c r="Z94" s="12"/>
      <c r="AA94" s="12"/>
      <c r="AB94" s="12"/>
      <c r="AC94" s="12"/>
    </row>
    <row r="95" spans="1:30" s="5" customFormat="1" ht="12.75" customHeight="1">
      <c r="A95" s="9" t="s">
        <v>22</v>
      </c>
      <c r="B95" s="9"/>
      <c r="C95" s="9"/>
      <c r="D95" s="10"/>
      <c r="E95" s="10"/>
      <c r="F95" s="10">
        <f t="shared" ref="F95:K95" si="136">SUM(F96:F99)</f>
        <v>54927</v>
      </c>
      <c r="G95" s="10">
        <f t="shared" si="136"/>
        <v>56097</v>
      </c>
      <c r="H95" s="10">
        <f t="shared" si="136"/>
        <v>56980</v>
      </c>
      <c r="I95" s="10">
        <f t="shared" si="136"/>
        <v>57616</v>
      </c>
      <c r="J95" s="10">
        <f t="shared" si="136"/>
        <v>56027</v>
      </c>
      <c r="K95" s="10">
        <f t="shared" si="136"/>
        <v>60228</v>
      </c>
      <c r="L95" s="10">
        <f t="shared" ref="L95:AC95" si="137">SUM(L96:L99)</f>
        <v>61341</v>
      </c>
      <c r="M95" s="10">
        <f t="shared" si="137"/>
        <v>59086</v>
      </c>
      <c r="N95" s="10">
        <f t="shared" si="137"/>
        <v>60855</v>
      </c>
      <c r="O95" s="10">
        <f t="shared" si="137"/>
        <v>61014</v>
      </c>
      <c r="P95" s="9">
        <f t="shared" si="137"/>
        <v>57531</v>
      </c>
      <c r="Q95" s="9">
        <f t="shared" si="137"/>
        <v>60508</v>
      </c>
      <c r="R95" s="9">
        <f t="shared" si="137"/>
        <v>56800</v>
      </c>
      <c r="S95" s="9">
        <f t="shared" ref="S95:AB95" si="138">SUM(S96:S99)</f>
        <v>56740</v>
      </c>
      <c r="T95" s="9">
        <f t="shared" si="138"/>
        <v>61495</v>
      </c>
      <c r="U95" s="9">
        <f t="shared" si="138"/>
        <v>65558</v>
      </c>
      <c r="V95" s="10">
        <f t="shared" si="138"/>
        <v>73720</v>
      </c>
      <c r="W95" s="10">
        <f t="shared" si="138"/>
        <v>75994</v>
      </c>
      <c r="X95" s="10">
        <f t="shared" si="138"/>
        <v>78705</v>
      </c>
      <c r="Y95" s="10">
        <f t="shared" si="138"/>
        <v>88290</v>
      </c>
      <c r="Z95" s="10">
        <f t="shared" si="138"/>
        <v>92913</v>
      </c>
      <c r="AA95" s="10">
        <f t="shared" si="138"/>
        <v>109234.82999999999</v>
      </c>
      <c r="AB95" s="10">
        <f t="shared" si="138"/>
        <v>111694.59</v>
      </c>
      <c r="AC95" s="10">
        <f t="shared" si="137"/>
        <v>110961.51000000001</v>
      </c>
    </row>
    <row r="96" spans="1:30" s="5" customFormat="1" ht="12.75" customHeight="1">
      <c r="A96" s="11" t="s">
        <v>2</v>
      </c>
      <c r="B96" s="11"/>
      <c r="C96" s="96"/>
      <c r="D96" s="11"/>
      <c r="E96" s="11"/>
      <c r="F96" s="10">
        <f t="shared" ref="F96:AC96" si="139">F78+F84+F90</f>
        <v>19851</v>
      </c>
      <c r="G96" s="10">
        <f t="shared" si="139"/>
        <v>19512</v>
      </c>
      <c r="H96" s="10">
        <f t="shared" si="139"/>
        <v>18950</v>
      </c>
      <c r="I96" s="10">
        <f t="shared" si="139"/>
        <v>20071</v>
      </c>
      <c r="J96" s="10">
        <f t="shared" si="139"/>
        <v>19546</v>
      </c>
      <c r="K96" s="10">
        <f t="shared" si="139"/>
        <v>21234</v>
      </c>
      <c r="L96" s="10">
        <f t="shared" si="139"/>
        <v>20942</v>
      </c>
      <c r="M96" s="10">
        <f t="shared" si="139"/>
        <v>19705</v>
      </c>
      <c r="N96" s="10">
        <f t="shared" si="139"/>
        <v>18613</v>
      </c>
      <c r="O96" s="10">
        <f t="shared" si="139"/>
        <v>20850</v>
      </c>
      <c r="P96" s="9">
        <f t="shared" si="139"/>
        <v>20199</v>
      </c>
      <c r="Q96" s="9">
        <f t="shared" si="139"/>
        <v>22095</v>
      </c>
      <c r="R96" s="9">
        <f t="shared" si="139"/>
        <v>21029</v>
      </c>
      <c r="S96" s="9">
        <f t="shared" si="139"/>
        <v>21557</v>
      </c>
      <c r="T96" s="9">
        <f t="shared" si="139"/>
        <v>25291</v>
      </c>
      <c r="U96" s="9">
        <f t="shared" si="139"/>
        <v>27173</v>
      </c>
      <c r="V96" s="10">
        <f t="shared" si="139"/>
        <v>32312</v>
      </c>
      <c r="W96" s="10">
        <f t="shared" si="139"/>
        <v>33971</v>
      </c>
      <c r="X96" s="10">
        <f t="shared" si="139"/>
        <v>34612</v>
      </c>
      <c r="Y96" s="10">
        <f t="shared" si="139"/>
        <v>40548</v>
      </c>
      <c r="Z96" s="10">
        <f t="shared" si="139"/>
        <v>41482</v>
      </c>
      <c r="AA96" s="10">
        <f>AA78+AA84+AA90</f>
        <v>48929.259999999995</v>
      </c>
      <c r="AB96" s="10">
        <f t="shared" ref="AB96" si="140">AB78+AB84+AB90</f>
        <v>50710.78</v>
      </c>
      <c r="AC96" s="10">
        <f t="shared" si="139"/>
        <v>48501.279999999999</v>
      </c>
    </row>
    <row r="97" spans="1:29" s="5" customFormat="1" ht="12.75" customHeight="1">
      <c r="A97" s="11" t="s">
        <v>3</v>
      </c>
      <c r="B97" s="11"/>
      <c r="C97" s="96"/>
      <c r="D97" s="11"/>
      <c r="E97" s="11"/>
      <c r="F97" s="10">
        <f t="shared" ref="F97:AC97" si="141">F79+F85+F91</f>
        <v>24167</v>
      </c>
      <c r="G97" s="10">
        <f t="shared" si="141"/>
        <v>24572</v>
      </c>
      <c r="H97" s="10">
        <f t="shared" si="141"/>
        <v>26510</v>
      </c>
      <c r="I97" s="10">
        <f t="shared" si="141"/>
        <v>26783</v>
      </c>
      <c r="J97" s="10">
        <f t="shared" si="141"/>
        <v>25362</v>
      </c>
      <c r="K97" s="10">
        <f t="shared" si="141"/>
        <v>26984</v>
      </c>
      <c r="L97" s="10">
        <f t="shared" si="141"/>
        <v>28799</v>
      </c>
      <c r="M97" s="10">
        <f t="shared" si="141"/>
        <v>28302</v>
      </c>
      <c r="N97" s="10">
        <f t="shared" si="141"/>
        <v>30893</v>
      </c>
      <c r="O97" s="10">
        <f t="shared" si="141"/>
        <v>28885</v>
      </c>
      <c r="P97" s="9">
        <f t="shared" si="141"/>
        <v>26322</v>
      </c>
      <c r="Q97" s="9">
        <f t="shared" si="141"/>
        <v>26685</v>
      </c>
      <c r="R97" s="9">
        <f t="shared" si="141"/>
        <v>24309</v>
      </c>
      <c r="S97" s="9">
        <f t="shared" si="141"/>
        <v>23994</v>
      </c>
      <c r="T97" s="9">
        <f t="shared" si="141"/>
        <v>25067</v>
      </c>
      <c r="U97" s="9">
        <f t="shared" si="141"/>
        <v>26953</v>
      </c>
      <c r="V97" s="10">
        <f t="shared" si="141"/>
        <v>29831</v>
      </c>
      <c r="W97" s="10">
        <f t="shared" si="141"/>
        <v>30751</v>
      </c>
      <c r="X97" s="10">
        <f t="shared" si="141"/>
        <v>34557</v>
      </c>
      <c r="Y97" s="10">
        <f t="shared" si="141"/>
        <v>37520</v>
      </c>
      <c r="Z97" s="10">
        <f t="shared" si="141"/>
        <v>40526</v>
      </c>
      <c r="AA97" s="10">
        <f>AA79+AA85+AA91</f>
        <v>47628.700000000004</v>
      </c>
      <c r="AB97" s="10">
        <f t="shared" ref="AB97" si="142">AB79+AB85+AB91</f>
        <v>48234.17</v>
      </c>
      <c r="AC97" s="10">
        <f t="shared" si="141"/>
        <v>50249.84</v>
      </c>
    </row>
    <row r="98" spans="1:29" s="5" customFormat="1" ht="12.75" customHeight="1">
      <c r="A98" s="8" t="s">
        <v>12</v>
      </c>
      <c r="B98" s="8"/>
      <c r="C98" s="96"/>
      <c r="D98" s="11"/>
      <c r="E98" s="11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9"/>
      <c r="Q98" s="9"/>
      <c r="R98" s="9"/>
      <c r="S98" s="9"/>
      <c r="T98" s="9"/>
      <c r="U98" s="9"/>
      <c r="V98" s="10"/>
      <c r="W98" s="10"/>
      <c r="X98" s="10"/>
      <c r="Y98" s="10"/>
      <c r="Z98" s="10"/>
      <c r="AA98" s="10">
        <f>AA80+AA86+AA92</f>
        <v>34.44</v>
      </c>
      <c r="AB98" s="10">
        <f>AB80+AB86+AB92</f>
        <v>53.43</v>
      </c>
      <c r="AC98" s="10">
        <f>AC80+AC86+AC92</f>
        <v>48.1</v>
      </c>
    </row>
    <row r="99" spans="1:29" s="5" customFormat="1" ht="12.75" customHeight="1">
      <c r="A99" s="11" t="s">
        <v>24</v>
      </c>
      <c r="B99" s="11"/>
      <c r="C99" s="96"/>
      <c r="D99" s="11"/>
      <c r="E99" s="11"/>
      <c r="F99" s="10">
        <f t="shared" ref="F99:K99" si="143">F81+F87+F93</f>
        <v>10909</v>
      </c>
      <c r="G99" s="10">
        <f t="shared" si="143"/>
        <v>12013</v>
      </c>
      <c r="H99" s="10">
        <f t="shared" si="143"/>
        <v>11520</v>
      </c>
      <c r="I99" s="10">
        <f t="shared" si="143"/>
        <v>10762</v>
      </c>
      <c r="J99" s="10">
        <f t="shared" si="143"/>
        <v>11119</v>
      </c>
      <c r="K99" s="10">
        <f t="shared" si="143"/>
        <v>12010</v>
      </c>
      <c r="L99" s="10">
        <f t="shared" ref="L99:Z99" si="144">L81+L87+L93</f>
        <v>11600</v>
      </c>
      <c r="M99" s="10">
        <f t="shared" si="144"/>
        <v>11079</v>
      </c>
      <c r="N99" s="10">
        <f t="shared" si="144"/>
        <v>11349</v>
      </c>
      <c r="O99" s="10">
        <f t="shared" si="144"/>
        <v>11279</v>
      </c>
      <c r="P99" s="9">
        <f t="shared" si="144"/>
        <v>11010</v>
      </c>
      <c r="Q99" s="9">
        <f t="shared" si="144"/>
        <v>11728</v>
      </c>
      <c r="R99" s="9">
        <f t="shared" si="144"/>
        <v>11462</v>
      </c>
      <c r="S99" s="9">
        <f t="shared" si="144"/>
        <v>11189</v>
      </c>
      <c r="T99" s="9">
        <f t="shared" si="144"/>
        <v>11137</v>
      </c>
      <c r="U99" s="9">
        <f t="shared" si="144"/>
        <v>11432</v>
      </c>
      <c r="V99" s="10">
        <f t="shared" si="144"/>
        <v>11577</v>
      </c>
      <c r="W99" s="10">
        <f t="shared" si="144"/>
        <v>11272</v>
      </c>
      <c r="X99" s="10">
        <f t="shared" si="144"/>
        <v>9536</v>
      </c>
      <c r="Y99" s="10">
        <f t="shared" si="144"/>
        <v>10222</v>
      </c>
      <c r="Z99" s="10">
        <f t="shared" si="144"/>
        <v>10905</v>
      </c>
      <c r="AA99" s="10">
        <f>AA81+AA87+AA93</f>
        <v>12642.43</v>
      </c>
      <c r="AB99" s="10">
        <f>AB81+AB87+AB93</f>
        <v>12696.21</v>
      </c>
      <c r="AC99" s="10">
        <f>AC81+AC87+AC93</f>
        <v>12162.29</v>
      </c>
    </row>
    <row r="100" spans="1:29" s="4" customFormat="1" ht="12.75" customHeight="1">
      <c r="A100" s="13"/>
      <c r="B100" s="13"/>
      <c r="C100" s="13"/>
      <c r="D100" s="8"/>
      <c r="E100" s="8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22"/>
      <c r="Q100" s="22"/>
      <c r="R100" s="22"/>
      <c r="S100" s="22"/>
      <c r="T100" s="22"/>
      <c r="U100" s="22"/>
      <c r="V100" s="14"/>
      <c r="W100" s="14"/>
      <c r="X100" s="14"/>
      <c r="Y100" s="14"/>
      <c r="Z100" s="14"/>
      <c r="AA100" s="14"/>
      <c r="AB100" s="14"/>
      <c r="AC100" s="14"/>
    </row>
    <row r="101" spans="1:29" s="5" customFormat="1" ht="12.75" customHeight="1" thickBot="1">
      <c r="A101" s="38" t="s">
        <v>14</v>
      </c>
      <c r="B101" s="38"/>
      <c r="C101" s="38"/>
      <c r="D101" s="39"/>
      <c r="E101" s="39"/>
      <c r="F101" s="39" t="s">
        <v>15</v>
      </c>
      <c r="G101" s="39" t="s">
        <v>16</v>
      </c>
      <c r="H101" s="39" t="s">
        <v>17</v>
      </c>
      <c r="I101" s="39" t="s">
        <v>18</v>
      </c>
      <c r="J101" s="39" t="s">
        <v>23</v>
      </c>
      <c r="K101" s="39" t="s">
        <v>25</v>
      </c>
      <c r="L101" s="39" t="s">
        <v>26</v>
      </c>
      <c r="M101" s="39" t="s">
        <v>40</v>
      </c>
      <c r="N101" s="39" t="s">
        <v>46</v>
      </c>
      <c r="O101" s="39" t="s">
        <v>47</v>
      </c>
      <c r="P101" s="39" t="s">
        <v>48</v>
      </c>
      <c r="Q101" s="39" t="s">
        <v>52</v>
      </c>
      <c r="R101" s="40" t="s">
        <v>55</v>
      </c>
      <c r="S101" s="40" t="s">
        <v>57</v>
      </c>
      <c r="T101" s="40" t="s">
        <v>60</v>
      </c>
      <c r="U101" s="40" t="s">
        <v>63</v>
      </c>
      <c r="V101" s="40" t="s">
        <v>65</v>
      </c>
      <c r="W101" s="40" t="s">
        <v>67</v>
      </c>
      <c r="X101" s="40" t="s">
        <v>69</v>
      </c>
      <c r="Y101" s="40" t="s">
        <v>71</v>
      </c>
      <c r="Z101" s="40" t="s">
        <v>74</v>
      </c>
      <c r="AA101" s="40" t="s">
        <v>79</v>
      </c>
      <c r="AB101" s="40" t="s">
        <v>87</v>
      </c>
      <c r="AC101" s="40" t="s">
        <v>116</v>
      </c>
    </row>
    <row r="102" spans="1:29" s="5" customFormat="1" ht="12.75" customHeight="1">
      <c r="A102" s="23" t="s">
        <v>5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9"/>
      <c r="Q102" s="9"/>
      <c r="R102" s="9"/>
      <c r="S102" s="9"/>
      <c r="T102" s="9"/>
      <c r="U102" s="9"/>
      <c r="V102" s="9"/>
      <c r="W102" s="10"/>
      <c r="X102" s="10"/>
      <c r="Y102" s="10"/>
      <c r="Z102" s="10"/>
      <c r="AA102" s="10"/>
      <c r="AB102" s="10"/>
      <c r="AC102" s="10"/>
    </row>
    <row r="103" spans="1:29" s="5" customFormat="1" ht="12.75" customHeight="1">
      <c r="A103" s="10" t="s">
        <v>19</v>
      </c>
      <c r="B103" s="10"/>
      <c r="C103" s="10"/>
      <c r="D103" s="10"/>
      <c r="E103" s="10"/>
      <c r="F103" s="10">
        <f t="shared" ref="F103:K103" si="145">F104+F105+F106</f>
        <v>3515</v>
      </c>
      <c r="G103" s="10">
        <f t="shared" si="145"/>
        <v>3232</v>
      </c>
      <c r="H103" s="10">
        <f t="shared" si="145"/>
        <v>3366</v>
      </c>
      <c r="I103" s="10">
        <f t="shared" si="145"/>
        <v>3655</v>
      </c>
      <c r="J103" s="10">
        <f t="shared" si="145"/>
        <v>4100</v>
      </c>
      <c r="K103" s="10">
        <f t="shared" si="145"/>
        <v>3976</v>
      </c>
      <c r="L103" s="10">
        <f t="shared" ref="L103:AC103" si="146">L104+L105+L106</f>
        <v>4445</v>
      </c>
      <c r="M103" s="10">
        <f t="shared" si="146"/>
        <v>4160</v>
      </c>
      <c r="N103" s="10">
        <f t="shared" si="146"/>
        <v>4479</v>
      </c>
      <c r="O103" s="10">
        <f t="shared" si="146"/>
        <v>4440</v>
      </c>
      <c r="P103" s="9">
        <f t="shared" si="146"/>
        <v>4366</v>
      </c>
      <c r="Q103" s="9">
        <f t="shared" si="146"/>
        <v>4042</v>
      </c>
      <c r="R103" s="9">
        <f t="shared" si="146"/>
        <v>3796</v>
      </c>
      <c r="S103" s="9">
        <f t="shared" ref="S103:AB103" si="147">S104+S105+S106</f>
        <v>3433</v>
      </c>
      <c r="T103" s="9">
        <f t="shared" si="147"/>
        <v>3464</v>
      </c>
      <c r="U103" s="9">
        <f t="shared" si="147"/>
        <v>3369</v>
      </c>
      <c r="V103" s="9">
        <f t="shared" si="147"/>
        <v>3471</v>
      </c>
      <c r="W103" s="10">
        <f t="shared" si="147"/>
        <v>3238</v>
      </c>
      <c r="X103" s="10">
        <f t="shared" si="147"/>
        <v>3152</v>
      </c>
      <c r="Y103" s="10">
        <f t="shared" si="147"/>
        <v>2983</v>
      </c>
      <c r="Z103" s="10">
        <f t="shared" si="147"/>
        <v>3326</v>
      </c>
      <c r="AA103" s="10">
        <f t="shared" si="147"/>
        <v>3029.8</v>
      </c>
      <c r="AB103" s="10">
        <f t="shared" si="147"/>
        <v>2808</v>
      </c>
      <c r="AC103" s="10">
        <f t="shared" si="146"/>
        <v>2968.3</v>
      </c>
    </row>
    <row r="104" spans="1:29" s="4" customFormat="1" ht="12.75" customHeight="1">
      <c r="A104" s="8" t="s">
        <v>2</v>
      </c>
      <c r="B104" s="8"/>
      <c r="C104" s="8"/>
      <c r="D104" s="8"/>
      <c r="E104" s="8"/>
      <c r="F104" s="12">
        <v>522</v>
      </c>
      <c r="G104" s="12">
        <v>720</v>
      </c>
      <c r="H104" s="12">
        <v>708</v>
      </c>
      <c r="I104" s="12">
        <v>728</v>
      </c>
      <c r="J104" s="12">
        <v>570</v>
      </c>
      <c r="K104" s="12">
        <v>421</v>
      </c>
      <c r="L104" s="12">
        <v>500</v>
      </c>
      <c r="M104" s="12">
        <v>534</v>
      </c>
      <c r="N104" s="12">
        <v>587</v>
      </c>
      <c r="O104" s="12">
        <v>543</v>
      </c>
      <c r="P104" s="21">
        <v>531</v>
      </c>
      <c r="Q104" s="21">
        <v>504</v>
      </c>
      <c r="R104" s="21">
        <v>432</v>
      </c>
      <c r="S104" s="21">
        <v>393</v>
      </c>
      <c r="T104" s="21">
        <v>334</v>
      </c>
      <c r="U104" s="21">
        <v>352</v>
      </c>
      <c r="V104" s="21">
        <v>342</v>
      </c>
      <c r="W104" s="19">
        <v>393</v>
      </c>
      <c r="X104" s="19">
        <v>552</v>
      </c>
      <c r="Y104" s="19">
        <v>557</v>
      </c>
      <c r="Z104" s="19">
        <v>550</v>
      </c>
      <c r="AA104" s="19">
        <v>521</v>
      </c>
      <c r="AB104" s="19">
        <v>496</v>
      </c>
      <c r="AC104" s="19">
        <v>514</v>
      </c>
    </row>
    <row r="105" spans="1:29" s="4" customFormat="1" ht="12.75" customHeight="1">
      <c r="A105" s="8" t="s">
        <v>3</v>
      </c>
      <c r="B105" s="8"/>
      <c r="C105" s="8"/>
      <c r="D105" s="8"/>
      <c r="E105" s="8"/>
      <c r="F105" s="12">
        <v>2535</v>
      </c>
      <c r="G105" s="12">
        <f>2010+43</f>
        <v>2053</v>
      </c>
      <c r="H105" s="12">
        <f>2055+33</f>
        <v>2088</v>
      </c>
      <c r="I105" s="12">
        <f>2340+38</f>
        <v>2378</v>
      </c>
      <c r="J105" s="12">
        <f>2799+167</f>
        <v>2966</v>
      </c>
      <c r="K105" s="12">
        <v>3125</v>
      </c>
      <c r="L105" s="12">
        <v>3604</v>
      </c>
      <c r="M105" s="12">
        <v>3294</v>
      </c>
      <c r="N105" s="12">
        <v>3324</v>
      </c>
      <c r="O105" s="12">
        <v>3236</v>
      </c>
      <c r="P105" s="21">
        <v>3333</v>
      </c>
      <c r="Q105" s="21">
        <v>3257</v>
      </c>
      <c r="R105" s="21">
        <v>2970</v>
      </c>
      <c r="S105" s="21">
        <v>2508</v>
      </c>
      <c r="T105" s="21">
        <v>2708</v>
      </c>
      <c r="U105" s="21">
        <v>2434</v>
      </c>
      <c r="V105" s="21">
        <v>2476</v>
      </c>
      <c r="W105" s="20">
        <v>2307</v>
      </c>
      <c r="X105" s="20">
        <v>2125</v>
      </c>
      <c r="Y105" s="20">
        <v>1945</v>
      </c>
      <c r="Z105" s="20">
        <v>2283</v>
      </c>
      <c r="AA105" s="20">
        <v>1992.4</v>
      </c>
      <c r="AB105" s="20">
        <v>1828</v>
      </c>
      <c r="AC105" s="20">
        <v>1876</v>
      </c>
    </row>
    <row r="106" spans="1:29" s="4" customFormat="1" ht="12.75" customHeight="1">
      <c r="A106" s="8" t="s">
        <v>24</v>
      </c>
      <c r="B106" s="8"/>
      <c r="C106" s="8"/>
      <c r="D106" s="8"/>
      <c r="E106" s="8"/>
      <c r="F106" s="12">
        <v>458</v>
      </c>
      <c r="G106" s="12">
        <v>459</v>
      </c>
      <c r="H106" s="12">
        <v>570</v>
      </c>
      <c r="I106" s="12">
        <v>549</v>
      </c>
      <c r="J106" s="12">
        <v>564</v>
      </c>
      <c r="K106" s="12">
        <v>430</v>
      </c>
      <c r="L106" s="12">
        <v>341</v>
      </c>
      <c r="M106" s="12">
        <v>332</v>
      </c>
      <c r="N106" s="12">
        <v>568</v>
      </c>
      <c r="O106" s="12">
        <v>661</v>
      </c>
      <c r="P106" s="21">
        <v>502</v>
      </c>
      <c r="Q106" s="21">
        <v>281</v>
      </c>
      <c r="R106" s="21">
        <v>394</v>
      </c>
      <c r="S106" s="21">
        <v>532</v>
      </c>
      <c r="T106" s="21">
        <v>422</v>
      </c>
      <c r="U106" s="21">
        <v>583</v>
      </c>
      <c r="V106" s="21">
        <v>653</v>
      </c>
      <c r="W106" s="20">
        <v>538</v>
      </c>
      <c r="X106" s="20">
        <v>475</v>
      </c>
      <c r="Y106" s="20">
        <v>481</v>
      </c>
      <c r="Z106" s="20">
        <v>493</v>
      </c>
      <c r="AA106" s="20">
        <v>516.4</v>
      </c>
      <c r="AB106" s="20">
        <v>484</v>
      </c>
      <c r="AC106" s="20">
        <v>578.29999999999995</v>
      </c>
    </row>
    <row r="107" spans="1:29" s="4" customFormat="1" ht="12.75" customHeight="1">
      <c r="A107" s="13"/>
      <c r="B107" s="13"/>
      <c r="C107" s="13"/>
      <c r="D107" s="8"/>
      <c r="E107" s="8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</row>
    <row r="108" spans="1:29" s="5" customFormat="1" ht="12.75" customHeight="1">
      <c r="A108" s="10" t="s">
        <v>20</v>
      </c>
      <c r="B108" s="10"/>
      <c r="C108" s="10"/>
      <c r="D108" s="10"/>
      <c r="E108" s="10"/>
      <c r="F108" s="10">
        <f t="shared" ref="F108:K108" si="148">F109+F110+F111</f>
        <v>20060</v>
      </c>
      <c r="G108" s="10">
        <f t="shared" si="148"/>
        <v>19719</v>
      </c>
      <c r="H108" s="10">
        <f t="shared" si="148"/>
        <v>19926</v>
      </c>
      <c r="I108" s="10">
        <f t="shared" si="148"/>
        <v>21728</v>
      </c>
      <c r="J108" s="10">
        <f t="shared" si="148"/>
        <v>23085</v>
      </c>
      <c r="K108" s="10">
        <f t="shared" si="148"/>
        <v>24365</v>
      </c>
      <c r="L108" s="10">
        <f t="shared" ref="L108:AC108" si="149">L109+L110+L111</f>
        <v>25573</v>
      </c>
      <c r="M108" s="10">
        <f t="shared" si="149"/>
        <v>27373</v>
      </c>
      <c r="N108" s="10">
        <f t="shared" si="149"/>
        <v>29029</v>
      </c>
      <c r="O108" s="10">
        <f t="shared" si="149"/>
        <v>29842</v>
      </c>
      <c r="P108" s="9">
        <f t="shared" si="149"/>
        <v>30941</v>
      </c>
      <c r="Q108" s="9">
        <f t="shared" si="149"/>
        <v>30916</v>
      </c>
      <c r="R108" s="9">
        <f t="shared" si="149"/>
        <v>29918</v>
      </c>
      <c r="S108" s="9">
        <f t="shared" ref="S108:AB108" si="150">S109+S110+S111</f>
        <v>28631</v>
      </c>
      <c r="T108" s="9">
        <f t="shared" si="150"/>
        <v>28723</v>
      </c>
      <c r="U108" s="9">
        <f t="shared" si="150"/>
        <v>28393</v>
      </c>
      <c r="V108" s="9">
        <f t="shared" si="150"/>
        <v>30445</v>
      </c>
      <c r="W108" s="10">
        <f t="shared" si="150"/>
        <v>28713</v>
      </c>
      <c r="X108" s="10">
        <f t="shared" si="150"/>
        <v>30505</v>
      </c>
      <c r="Y108" s="10">
        <f t="shared" si="150"/>
        <v>31509</v>
      </c>
      <c r="Z108" s="10">
        <f t="shared" si="150"/>
        <v>33168</v>
      </c>
      <c r="AA108" s="10">
        <f t="shared" si="150"/>
        <v>34183</v>
      </c>
      <c r="AB108" s="10">
        <f t="shared" si="150"/>
        <v>37685.29</v>
      </c>
      <c r="AC108" s="10">
        <f t="shared" si="149"/>
        <v>39909.360000000001</v>
      </c>
    </row>
    <row r="109" spans="1:29" s="4" customFormat="1" ht="12.75" customHeight="1">
      <c r="A109" s="8" t="s">
        <v>2</v>
      </c>
      <c r="B109" s="8"/>
      <c r="C109" s="8"/>
      <c r="D109" s="8"/>
      <c r="E109" s="8"/>
      <c r="F109" s="12">
        <v>6213</v>
      </c>
      <c r="G109" s="12">
        <f>6620</f>
        <v>6620</v>
      </c>
      <c r="H109" s="12">
        <v>6849</v>
      </c>
      <c r="I109" s="12">
        <v>7235</v>
      </c>
      <c r="J109" s="12">
        <v>6017</v>
      </c>
      <c r="K109" s="12">
        <v>5886</v>
      </c>
      <c r="L109" s="12">
        <v>6362</v>
      </c>
      <c r="M109" s="12">
        <v>6815</v>
      </c>
      <c r="N109" s="12">
        <v>7156</v>
      </c>
      <c r="O109" s="12">
        <v>7777</v>
      </c>
      <c r="P109" s="21">
        <v>7660</v>
      </c>
      <c r="Q109" s="21">
        <v>6245</v>
      </c>
      <c r="R109" s="21">
        <v>5999</v>
      </c>
      <c r="S109" s="21">
        <v>6529</v>
      </c>
      <c r="T109" s="21">
        <v>6377</v>
      </c>
      <c r="U109" s="21">
        <v>6172</v>
      </c>
      <c r="V109" s="21">
        <v>6922</v>
      </c>
      <c r="W109" s="19">
        <v>7042</v>
      </c>
      <c r="X109" s="19">
        <v>8448</v>
      </c>
      <c r="Y109" s="19">
        <v>9986</v>
      </c>
      <c r="Z109" s="19">
        <v>10552</v>
      </c>
      <c r="AA109" s="19">
        <v>9943</v>
      </c>
      <c r="AB109" s="19">
        <v>11139</v>
      </c>
      <c r="AC109" s="19">
        <v>11052</v>
      </c>
    </row>
    <row r="110" spans="1:29" s="4" customFormat="1" ht="12.75" customHeight="1">
      <c r="A110" s="8" t="s">
        <v>3</v>
      </c>
      <c r="B110" s="8"/>
      <c r="C110" s="8"/>
      <c r="D110" s="8"/>
      <c r="E110" s="8"/>
      <c r="F110" s="12">
        <v>12369</v>
      </c>
      <c r="G110" s="12">
        <f>11466+80</f>
        <v>11546</v>
      </c>
      <c r="H110" s="12">
        <f>11371+147</f>
        <v>11518</v>
      </c>
      <c r="I110" s="12">
        <f>12693+76</f>
        <v>12769</v>
      </c>
      <c r="J110" s="12">
        <f>15283+159</f>
        <v>15442</v>
      </c>
      <c r="K110" s="12">
        <v>16831</v>
      </c>
      <c r="L110" s="12">
        <v>17360</v>
      </c>
      <c r="M110" s="12">
        <v>18421</v>
      </c>
      <c r="N110" s="12">
        <v>19744</v>
      </c>
      <c r="O110" s="12">
        <v>19925</v>
      </c>
      <c r="P110" s="21">
        <v>20873</v>
      </c>
      <c r="Q110" s="21">
        <v>22841</v>
      </c>
      <c r="R110" s="21">
        <v>22183</v>
      </c>
      <c r="S110" s="21">
        <v>20420</v>
      </c>
      <c r="T110" s="21">
        <v>20220</v>
      </c>
      <c r="U110" s="21">
        <v>20197</v>
      </c>
      <c r="V110" s="21">
        <v>21269</v>
      </c>
      <c r="W110" s="20">
        <v>19529</v>
      </c>
      <c r="X110" s="20">
        <v>19915</v>
      </c>
      <c r="Y110" s="20">
        <v>19740</v>
      </c>
      <c r="Z110" s="20">
        <v>20814</v>
      </c>
      <c r="AA110" s="20">
        <v>22157</v>
      </c>
      <c r="AB110" s="20">
        <v>23901.29</v>
      </c>
      <c r="AC110" s="20">
        <v>26287</v>
      </c>
    </row>
    <row r="111" spans="1:29" s="4" customFormat="1" ht="12.75" customHeight="1">
      <c r="A111" s="8" t="s">
        <v>24</v>
      </c>
      <c r="B111" s="8"/>
      <c r="C111" s="8"/>
      <c r="D111" s="8"/>
      <c r="E111" s="8"/>
      <c r="F111" s="12">
        <v>1478</v>
      </c>
      <c r="G111" s="12">
        <v>1553</v>
      </c>
      <c r="H111" s="12">
        <v>1559</v>
      </c>
      <c r="I111" s="12">
        <v>1724</v>
      </c>
      <c r="J111" s="12">
        <v>1626</v>
      </c>
      <c r="K111" s="12">
        <v>1648</v>
      </c>
      <c r="L111" s="12">
        <v>1851</v>
      </c>
      <c r="M111" s="12">
        <v>2137</v>
      </c>
      <c r="N111" s="12">
        <v>2129</v>
      </c>
      <c r="O111" s="12">
        <v>2140</v>
      </c>
      <c r="P111" s="21">
        <v>2408</v>
      </c>
      <c r="Q111" s="21">
        <v>1830</v>
      </c>
      <c r="R111" s="21">
        <v>1736</v>
      </c>
      <c r="S111" s="21">
        <v>1682</v>
      </c>
      <c r="T111" s="21">
        <v>2126</v>
      </c>
      <c r="U111" s="21">
        <v>2024</v>
      </c>
      <c r="V111" s="21">
        <v>2254</v>
      </c>
      <c r="W111" s="20">
        <v>2142</v>
      </c>
      <c r="X111" s="20">
        <v>2142</v>
      </c>
      <c r="Y111" s="20">
        <v>1783</v>
      </c>
      <c r="Z111" s="20">
        <v>1802</v>
      </c>
      <c r="AA111" s="20">
        <v>2083</v>
      </c>
      <c r="AB111" s="20">
        <v>2645</v>
      </c>
      <c r="AC111" s="20">
        <v>2570.36</v>
      </c>
    </row>
    <row r="112" spans="1:29" s="4" customFormat="1" ht="12.75" customHeight="1">
      <c r="A112" s="13"/>
      <c r="B112" s="13"/>
      <c r="C112" s="13"/>
      <c r="D112" s="8"/>
      <c r="E112" s="8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21"/>
      <c r="Q112" s="21"/>
      <c r="R112" s="21"/>
      <c r="S112" s="21"/>
      <c r="T112" s="21"/>
      <c r="U112" s="21"/>
      <c r="V112" s="21"/>
      <c r="W112" s="12"/>
      <c r="X112" s="12"/>
      <c r="Y112" s="12"/>
      <c r="Z112" s="12"/>
      <c r="AA112" s="12"/>
      <c r="AB112" s="12"/>
      <c r="AC112" s="12"/>
    </row>
    <row r="113" spans="1:30" s="5" customFormat="1" ht="12.75" customHeight="1">
      <c r="A113" s="10" t="s">
        <v>21</v>
      </c>
      <c r="B113" s="10"/>
      <c r="C113" s="10"/>
      <c r="D113" s="10"/>
      <c r="E113" s="10"/>
      <c r="F113" s="10">
        <f t="shared" ref="F113:K113" si="151">SUM(F114:F116)</f>
        <v>19877</v>
      </c>
      <c r="G113" s="10">
        <f t="shared" si="151"/>
        <v>19518</v>
      </c>
      <c r="H113" s="10">
        <f t="shared" si="151"/>
        <v>20206</v>
      </c>
      <c r="I113" s="10">
        <f t="shared" si="151"/>
        <v>21959</v>
      </c>
      <c r="J113" s="10">
        <f t="shared" si="151"/>
        <v>23771</v>
      </c>
      <c r="K113" s="10">
        <f t="shared" si="151"/>
        <v>24771</v>
      </c>
      <c r="L113" s="10">
        <f t="shared" ref="L113:AC113" si="152">SUM(L114:L116)</f>
        <v>26555</v>
      </c>
      <c r="M113" s="10">
        <f t="shared" si="152"/>
        <v>26892</v>
      </c>
      <c r="N113" s="10">
        <f t="shared" si="152"/>
        <v>28790</v>
      </c>
      <c r="O113" s="10">
        <f t="shared" si="152"/>
        <v>28818</v>
      </c>
      <c r="P113" s="9">
        <f t="shared" si="152"/>
        <v>29279</v>
      </c>
      <c r="Q113" s="9">
        <f t="shared" si="152"/>
        <v>28851</v>
      </c>
      <c r="R113" s="9">
        <f t="shared" si="152"/>
        <v>29028</v>
      </c>
      <c r="S113" s="9">
        <f t="shared" ref="S113:AB113" si="153">SUM(S114:S116)</f>
        <v>27344</v>
      </c>
      <c r="T113" s="9">
        <f t="shared" si="153"/>
        <v>27690</v>
      </c>
      <c r="U113" s="9">
        <f t="shared" si="153"/>
        <v>28845</v>
      </c>
      <c r="V113" s="9">
        <f t="shared" si="153"/>
        <v>29214</v>
      </c>
      <c r="W113" s="10">
        <f t="shared" si="153"/>
        <v>28422</v>
      </c>
      <c r="X113" s="10">
        <f t="shared" si="153"/>
        <v>30024</v>
      </c>
      <c r="Y113" s="10">
        <f t="shared" si="153"/>
        <v>32008</v>
      </c>
      <c r="Z113" s="10">
        <f t="shared" si="153"/>
        <v>34378</v>
      </c>
      <c r="AA113" s="10">
        <f t="shared" si="153"/>
        <v>36530</v>
      </c>
      <c r="AB113" s="10">
        <f t="shared" si="153"/>
        <v>40580.239999999998</v>
      </c>
      <c r="AC113" s="10">
        <f t="shared" si="152"/>
        <v>43552.19</v>
      </c>
    </row>
    <row r="114" spans="1:30" s="4" customFormat="1" ht="12.75" customHeight="1">
      <c r="A114" s="8" t="s">
        <v>2</v>
      </c>
      <c r="B114" s="8"/>
      <c r="C114" s="8"/>
      <c r="D114" s="8"/>
      <c r="E114" s="8"/>
      <c r="F114" s="12">
        <v>6242</v>
      </c>
      <c r="G114" s="12">
        <v>6629</v>
      </c>
      <c r="H114" s="12">
        <v>6754</v>
      </c>
      <c r="I114" s="12">
        <v>6479</v>
      </c>
      <c r="J114" s="12">
        <v>5860</v>
      </c>
      <c r="K114" s="12">
        <v>5869</v>
      </c>
      <c r="L114" s="12">
        <v>6563</v>
      </c>
      <c r="M114" s="12">
        <v>6696</v>
      </c>
      <c r="N114" s="12">
        <v>6437</v>
      </c>
      <c r="O114" s="12">
        <v>5844</v>
      </c>
      <c r="P114" s="21">
        <v>4982</v>
      </c>
      <c r="Q114" s="21">
        <v>5153</v>
      </c>
      <c r="R114" s="21">
        <v>5848</v>
      </c>
      <c r="S114" s="21">
        <v>5254</v>
      </c>
      <c r="T114" s="21">
        <v>5003</v>
      </c>
      <c r="U114" s="21">
        <v>5715</v>
      </c>
      <c r="V114" s="21">
        <v>6477</v>
      </c>
      <c r="W114" s="19">
        <v>6675</v>
      </c>
      <c r="X114" s="19">
        <v>7879</v>
      </c>
      <c r="Y114" s="19">
        <v>9603</v>
      </c>
      <c r="Z114" s="19">
        <v>10516</v>
      </c>
      <c r="AA114" s="19">
        <v>10750</v>
      </c>
      <c r="AB114" s="19">
        <v>12053</v>
      </c>
      <c r="AC114" s="19">
        <v>12473</v>
      </c>
      <c r="AD114" s="26"/>
    </row>
    <row r="115" spans="1:30" s="4" customFormat="1" ht="12.75" customHeight="1">
      <c r="A115" s="8" t="s">
        <v>3</v>
      </c>
      <c r="B115" s="8"/>
      <c r="C115" s="8"/>
      <c r="D115" s="8"/>
      <c r="E115" s="8"/>
      <c r="F115" s="12">
        <v>11988</v>
      </c>
      <c r="G115" s="12">
        <f>11203+144</f>
        <v>11347</v>
      </c>
      <c r="H115" s="12">
        <f>11991+101</f>
        <v>12092</v>
      </c>
      <c r="I115" s="12">
        <f>13725+112</f>
        <v>13837</v>
      </c>
      <c r="J115" s="12">
        <v>16296</v>
      </c>
      <c r="K115" s="12">
        <v>17398</v>
      </c>
      <c r="L115" s="12">
        <v>18222</v>
      </c>
      <c r="M115" s="12">
        <v>18221</v>
      </c>
      <c r="N115" s="12">
        <v>20333</v>
      </c>
      <c r="O115" s="12">
        <v>20994</v>
      </c>
      <c r="P115" s="21">
        <v>22594</v>
      </c>
      <c r="Q115" s="21">
        <v>22113</v>
      </c>
      <c r="R115" s="21">
        <v>21620</v>
      </c>
      <c r="S115" s="21">
        <v>20306</v>
      </c>
      <c r="T115" s="21">
        <v>20911</v>
      </c>
      <c r="U115" s="21">
        <v>20979</v>
      </c>
      <c r="V115" s="21">
        <v>20748</v>
      </c>
      <c r="W115" s="20">
        <v>19801</v>
      </c>
      <c r="X115" s="20">
        <v>20279</v>
      </c>
      <c r="Y115" s="20">
        <v>20682</v>
      </c>
      <c r="Z115" s="20">
        <v>21984</v>
      </c>
      <c r="AA115" s="20">
        <v>23474</v>
      </c>
      <c r="AB115" s="20">
        <v>25889</v>
      </c>
      <c r="AC115" s="20">
        <v>28536.15</v>
      </c>
    </row>
    <row r="116" spans="1:30" s="4" customFormat="1" ht="12.75" customHeight="1">
      <c r="A116" s="8" t="s">
        <v>24</v>
      </c>
      <c r="B116" s="8"/>
      <c r="C116" s="8"/>
      <c r="D116" s="8"/>
      <c r="E116" s="8"/>
      <c r="F116" s="12">
        <v>1647</v>
      </c>
      <c r="G116" s="12">
        <v>1542</v>
      </c>
      <c r="H116" s="12">
        <v>1360</v>
      </c>
      <c r="I116" s="12">
        <v>1643</v>
      </c>
      <c r="J116" s="12">
        <v>1615</v>
      </c>
      <c r="K116" s="12">
        <v>1504</v>
      </c>
      <c r="L116" s="12">
        <v>1770</v>
      </c>
      <c r="M116" s="12">
        <v>1975</v>
      </c>
      <c r="N116" s="12">
        <v>2020</v>
      </c>
      <c r="O116" s="12">
        <v>1980</v>
      </c>
      <c r="P116" s="21">
        <v>1703</v>
      </c>
      <c r="Q116" s="21">
        <v>1585</v>
      </c>
      <c r="R116" s="21">
        <v>1560</v>
      </c>
      <c r="S116" s="21">
        <v>1784</v>
      </c>
      <c r="T116" s="21">
        <v>1776</v>
      </c>
      <c r="U116" s="21">
        <v>2151</v>
      </c>
      <c r="V116" s="21">
        <v>1989</v>
      </c>
      <c r="W116" s="20">
        <v>1946</v>
      </c>
      <c r="X116" s="20">
        <v>1866</v>
      </c>
      <c r="Y116" s="20">
        <v>1723</v>
      </c>
      <c r="Z116" s="20">
        <v>1878</v>
      </c>
      <c r="AA116" s="20">
        <v>2306</v>
      </c>
      <c r="AB116" s="20">
        <v>2638.24</v>
      </c>
      <c r="AC116" s="20">
        <v>2543.04</v>
      </c>
    </row>
    <row r="117" spans="1:30" s="4" customFormat="1" ht="12.75" customHeight="1">
      <c r="A117" s="13"/>
      <c r="B117" s="13"/>
      <c r="C117" s="13"/>
      <c r="D117" s="8"/>
      <c r="E117" s="8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21"/>
      <c r="Q117" s="21"/>
      <c r="R117" s="21"/>
      <c r="S117" s="21"/>
      <c r="T117" s="21"/>
      <c r="U117" s="21"/>
      <c r="V117" s="21"/>
      <c r="W117" s="12"/>
      <c r="X117" s="12"/>
      <c r="Y117" s="12"/>
      <c r="Z117" s="12"/>
      <c r="AA117" s="12"/>
      <c r="AB117" s="12"/>
      <c r="AC117" s="12"/>
    </row>
    <row r="118" spans="1:30" s="5" customFormat="1" ht="12.75" customHeight="1">
      <c r="A118" s="9" t="s">
        <v>22</v>
      </c>
      <c r="B118" s="9"/>
      <c r="C118" s="9"/>
      <c r="D118" s="10"/>
      <c r="E118" s="10"/>
      <c r="F118" s="10">
        <f t="shared" ref="F118:K121" si="154">F103+F108+F113</f>
        <v>43452</v>
      </c>
      <c r="G118" s="10">
        <f t="shared" si="154"/>
        <v>42469</v>
      </c>
      <c r="H118" s="10">
        <f t="shared" si="154"/>
        <v>43498</v>
      </c>
      <c r="I118" s="10">
        <f t="shared" si="154"/>
        <v>47342</v>
      </c>
      <c r="J118" s="10">
        <f t="shared" si="154"/>
        <v>50956</v>
      </c>
      <c r="K118" s="10">
        <f t="shared" si="154"/>
        <v>53112</v>
      </c>
      <c r="L118" s="10">
        <f t="shared" ref="L118:M121" si="155">L103+L108+L113</f>
        <v>56573</v>
      </c>
      <c r="M118" s="10">
        <f t="shared" si="155"/>
        <v>58425</v>
      </c>
      <c r="N118" s="10">
        <f t="shared" ref="N118:O121" si="156">N103+N108+N113</f>
        <v>62298</v>
      </c>
      <c r="O118" s="10">
        <f t="shared" si="156"/>
        <v>63100</v>
      </c>
      <c r="P118" s="9">
        <f t="shared" ref="P118:R121" si="157">P103+P108+P113</f>
        <v>64586</v>
      </c>
      <c r="Q118" s="9">
        <f t="shared" si="157"/>
        <v>63809</v>
      </c>
      <c r="R118" s="9">
        <f t="shared" si="157"/>
        <v>62742</v>
      </c>
      <c r="S118" s="9">
        <f t="shared" ref="S118:V121" si="158">S103+S108+S113</f>
        <v>59408</v>
      </c>
      <c r="T118" s="9">
        <f t="shared" si="158"/>
        <v>59877</v>
      </c>
      <c r="U118" s="9">
        <f t="shared" si="158"/>
        <v>60607</v>
      </c>
      <c r="V118" s="10">
        <f t="shared" si="158"/>
        <v>63130</v>
      </c>
      <c r="W118" s="10">
        <f>W103+W108+W113</f>
        <v>60373</v>
      </c>
      <c r="X118" s="10">
        <f t="shared" ref="X118:Z121" si="159">X103+X108+X113</f>
        <v>63681</v>
      </c>
      <c r="Y118" s="10">
        <f t="shared" si="159"/>
        <v>66500</v>
      </c>
      <c r="Z118" s="10">
        <f t="shared" si="159"/>
        <v>70872</v>
      </c>
      <c r="AA118" s="10">
        <f t="shared" ref="AA118:AC121" si="160">AA103+AA108+AA113</f>
        <v>73742.8</v>
      </c>
      <c r="AB118" s="10">
        <f t="shared" ref="AB118" si="161">AB103+AB108+AB113</f>
        <v>81073.53</v>
      </c>
      <c r="AC118" s="10">
        <f t="shared" si="160"/>
        <v>86429.85</v>
      </c>
    </row>
    <row r="119" spans="1:30" s="4" customFormat="1" ht="12.75" customHeight="1">
      <c r="A119" s="8" t="s">
        <v>2</v>
      </c>
      <c r="B119" s="8"/>
      <c r="C119" s="8"/>
      <c r="D119" s="8"/>
      <c r="E119" s="8"/>
      <c r="F119" s="14">
        <f t="shared" si="154"/>
        <v>12977</v>
      </c>
      <c r="G119" s="14">
        <f t="shared" si="154"/>
        <v>13969</v>
      </c>
      <c r="H119" s="14">
        <f t="shared" si="154"/>
        <v>14311</v>
      </c>
      <c r="I119" s="14">
        <f t="shared" si="154"/>
        <v>14442</v>
      </c>
      <c r="J119" s="14">
        <f t="shared" si="154"/>
        <v>12447</v>
      </c>
      <c r="K119" s="14">
        <f t="shared" si="154"/>
        <v>12176</v>
      </c>
      <c r="L119" s="14">
        <f t="shared" si="155"/>
        <v>13425</v>
      </c>
      <c r="M119" s="14">
        <f t="shared" si="155"/>
        <v>14045</v>
      </c>
      <c r="N119" s="14">
        <f t="shared" si="156"/>
        <v>14180</v>
      </c>
      <c r="O119" s="14">
        <f t="shared" si="156"/>
        <v>14164</v>
      </c>
      <c r="P119" s="22">
        <f t="shared" si="157"/>
        <v>13173</v>
      </c>
      <c r="Q119" s="22">
        <f t="shared" si="157"/>
        <v>11902</v>
      </c>
      <c r="R119" s="22">
        <f t="shared" si="157"/>
        <v>12279</v>
      </c>
      <c r="S119" s="22">
        <f t="shared" si="158"/>
        <v>12176</v>
      </c>
      <c r="T119" s="22">
        <f t="shared" si="158"/>
        <v>11714</v>
      </c>
      <c r="U119" s="22">
        <f t="shared" si="158"/>
        <v>12239</v>
      </c>
      <c r="V119" s="14">
        <f t="shared" si="158"/>
        <v>13741</v>
      </c>
      <c r="W119" s="14">
        <f>W104+W109+W114</f>
        <v>14110</v>
      </c>
      <c r="X119" s="14">
        <f t="shared" si="159"/>
        <v>16879</v>
      </c>
      <c r="Y119" s="14">
        <f t="shared" si="159"/>
        <v>20146</v>
      </c>
      <c r="Z119" s="14">
        <f t="shared" si="159"/>
        <v>21618</v>
      </c>
      <c r="AA119" s="14">
        <f t="shared" si="160"/>
        <v>21214</v>
      </c>
      <c r="AB119" s="14">
        <f t="shared" ref="AB119" si="162">AB104+AB109+AB114</f>
        <v>23688</v>
      </c>
      <c r="AC119" s="14">
        <f t="shared" si="160"/>
        <v>24039</v>
      </c>
    </row>
    <row r="120" spans="1:30" s="4" customFormat="1" ht="12.75" customHeight="1">
      <c r="A120" s="8" t="s">
        <v>3</v>
      </c>
      <c r="B120" s="8"/>
      <c r="C120" s="8"/>
      <c r="D120" s="8"/>
      <c r="E120" s="8"/>
      <c r="F120" s="14">
        <f t="shared" si="154"/>
        <v>26892</v>
      </c>
      <c r="G120" s="14">
        <f t="shared" si="154"/>
        <v>24946</v>
      </c>
      <c r="H120" s="14">
        <f t="shared" si="154"/>
        <v>25698</v>
      </c>
      <c r="I120" s="14">
        <f t="shared" si="154"/>
        <v>28984</v>
      </c>
      <c r="J120" s="14">
        <f t="shared" si="154"/>
        <v>34704</v>
      </c>
      <c r="K120" s="14">
        <f t="shared" si="154"/>
        <v>37354</v>
      </c>
      <c r="L120" s="14">
        <f t="shared" si="155"/>
        <v>39186</v>
      </c>
      <c r="M120" s="14">
        <f t="shared" si="155"/>
        <v>39936</v>
      </c>
      <c r="N120" s="14">
        <f t="shared" si="156"/>
        <v>43401</v>
      </c>
      <c r="O120" s="14">
        <f t="shared" si="156"/>
        <v>44155</v>
      </c>
      <c r="P120" s="22">
        <f t="shared" si="157"/>
        <v>46800</v>
      </c>
      <c r="Q120" s="22">
        <f t="shared" si="157"/>
        <v>48211</v>
      </c>
      <c r="R120" s="22">
        <f t="shared" si="157"/>
        <v>46773</v>
      </c>
      <c r="S120" s="22">
        <f t="shared" si="158"/>
        <v>43234</v>
      </c>
      <c r="T120" s="22">
        <f t="shared" si="158"/>
        <v>43839</v>
      </c>
      <c r="U120" s="22">
        <f t="shared" si="158"/>
        <v>43610</v>
      </c>
      <c r="V120" s="14">
        <f t="shared" si="158"/>
        <v>44493</v>
      </c>
      <c r="W120" s="14">
        <f>W105+W110+W115</f>
        <v>41637</v>
      </c>
      <c r="X120" s="14">
        <f t="shared" si="159"/>
        <v>42319</v>
      </c>
      <c r="Y120" s="14">
        <f t="shared" si="159"/>
        <v>42367</v>
      </c>
      <c r="Z120" s="14">
        <f t="shared" si="159"/>
        <v>45081</v>
      </c>
      <c r="AA120" s="14">
        <f t="shared" si="160"/>
        <v>47623.4</v>
      </c>
      <c r="AB120" s="14">
        <f t="shared" ref="AB120" si="163">AB105+AB110+AB115</f>
        <v>51618.29</v>
      </c>
      <c r="AC120" s="14">
        <f t="shared" si="160"/>
        <v>56699.15</v>
      </c>
    </row>
    <row r="121" spans="1:30" s="4" customFormat="1" ht="12.75" customHeight="1">
      <c r="A121" s="8" t="s">
        <v>24</v>
      </c>
      <c r="B121" s="8"/>
      <c r="C121" s="8"/>
      <c r="D121" s="8"/>
      <c r="E121" s="8"/>
      <c r="F121" s="14">
        <f t="shared" si="154"/>
        <v>3583</v>
      </c>
      <c r="G121" s="14">
        <f t="shared" si="154"/>
        <v>3554</v>
      </c>
      <c r="H121" s="14">
        <f t="shared" si="154"/>
        <v>3489</v>
      </c>
      <c r="I121" s="14">
        <f t="shared" si="154"/>
        <v>3916</v>
      </c>
      <c r="J121" s="14">
        <f t="shared" si="154"/>
        <v>3805</v>
      </c>
      <c r="K121" s="14">
        <f t="shared" si="154"/>
        <v>3582</v>
      </c>
      <c r="L121" s="14">
        <f t="shared" si="155"/>
        <v>3962</v>
      </c>
      <c r="M121" s="14">
        <f t="shared" si="155"/>
        <v>4444</v>
      </c>
      <c r="N121" s="14">
        <f t="shared" si="156"/>
        <v>4717</v>
      </c>
      <c r="O121" s="14">
        <f t="shared" si="156"/>
        <v>4781</v>
      </c>
      <c r="P121" s="22">
        <f t="shared" si="157"/>
        <v>4613</v>
      </c>
      <c r="Q121" s="22">
        <f t="shared" si="157"/>
        <v>3696</v>
      </c>
      <c r="R121" s="22">
        <f t="shared" si="157"/>
        <v>3690</v>
      </c>
      <c r="S121" s="22">
        <f t="shared" si="158"/>
        <v>3998</v>
      </c>
      <c r="T121" s="22">
        <f t="shared" si="158"/>
        <v>4324</v>
      </c>
      <c r="U121" s="22">
        <f t="shared" si="158"/>
        <v>4758</v>
      </c>
      <c r="V121" s="14">
        <f t="shared" si="158"/>
        <v>4896</v>
      </c>
      <c r="W121" s="14">
        <f>W106+W111+W116</f>
        <v>4626</v>
      </c>
      <c r="X121" s="14">
        <f t="shared" si="159"/>
        <v>4483</v>
      </c>
      <c r="Y121" s="14">
        <f t="shared" si="159"/>
        <v>3987</v>
      </c>
      <c r="Z121" s="14">
        <f t="shared" si="159"/>
        <v>4173</v>
      </c>
      <c r="AA121" s="14">
        <f t="shared" si="160"/>
        <v>4905.3999999999996</v>
      </c>
      <c r="AB121" s="14">
        <f t="shared" ref="AB121" si="164">AB106+AB111+AB116</f>
        <v>5767.24</v>
      </c>
      <c r="AC121" s="14">
        <f t="shared" si="160"/>
        <v>5691.7</v>
      </c>
    </row>
    <row r="122" spans="1:30" s="4" customFormat="1" ht="12.75" customHeight="1">
      <c r="A122" s="13"/>
      <c r="B122" s="13"/>
      <c r="C122" s="13"/>
      <c r="D122" s="8"/>
      <c r="E122" s="8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22"/>
      <c r="Q122" s="22"/>
      <c r="R122" s="22"/>
      <c r="S122" s="22"/>
      <c r="T122" s="22"/>
      <c r="U122" s="22"/>
      <c r="V122" s="14"/>
      <c r="W122" s="14"/>
      <c r="X122" s="14"/>
      <c r="Y122" s="14"/>
      <c r="Z122" s="14"/>
      <c r="AA122" s="14"/>
      <c r="AB122" s="14"/>
      <c r="AC122" s="14"/>
    </row>
    <row r="123" spans="1:30" s="5" customFormat="1" ht="12.75" customHeight="1" thickBot="1">
      <c r="A123" s="38" t="s">
        <v>14</v>
      </c>
      <c r="B123" s="38"/>
      <c r="C123" s="38"/>
      <c r="D123" s="39"/>
      <c r="E123" s="39"/>
      <c r="F123" s="39" t="s">
        <v>15</v>
      </c>
      <c r="G123" s="39" t="s">
        <v>16</v>
      </c>
      <c r="H123" s="39" t="s">
        <v>17</v>
      </c>
      <c r="I123" s="39" t="s">
        <v>18</v>
      </c>
      <c r="J123" s="39" t="s">
        <v>23</v>
      </c>
      <c r="K123" s="39" t="s">
        <v>25</v>
      </c>
      <c r="L123" s="39" t="s">
        <v>26</v>
      </c>
      <c r="M123" s="39" t="s">
        <v>40</v>
      </c>
      <c r="N123" s="39" t="s">
        <v>46</v>
      </c>
      <c r="O123" s="39" t="s">
        <v>47</v>
      </c>
      <c r="P123" s="39" t="s">
        <v>48</v>
      </c>
      <c r="Q123" s="39" t="s">
        <v>52</v>
      </c>
      <c r="R123" s="40" t="s">
        <v>55</v>
      </c>
      <c r="S123" s="40" t="s">
        <v>57</v>
      </c>
      <c r="T123" s="40" t="s">
        <v>60</v>
      </c>
      <c r="U123" s="40" t="s">
        <v>63</v>
      </c>
      <c r="V123" s="40" t="s">
        <v>65</v>
      </c>
      <c r="W123" s="40" t="s">
        <v>67</v>
      </c>
      <c r="X123" s="40" t="s">
        <v>69</v>
      </c>
      <c r="Y123" s="40" t="s">
        <v>71</v>
      </c>
      <c r="Z123" s="40" t="s">
        <v>74</v>
      </c>
      <c r="AA123" s="40" t="s">
        <v>79</v>
      </c>
      <c r="AB123" s="40" t="s">
        <v>87</v>
      </c>
      <c r="AC123" s="40" t="s">
        <v>116</v>
      </c>
    </row>
    <row r="124" spans="1:30" s="5" customFormat="1" ht="12.75" customHeight="1">
      <c r="A124" s="23" t="s">
        <v>6</v>
      </c>
      <c r="B124" s="10"/>
      <c r="C124" s="10"/>
      <c r="D124" s="10"/>
      <c r="E124" s="10"/>
      <c r="F124" s="10">
        <f t="shared" ref="F124:K124" si="165">F125+F130+F135</f>
        <v>36254</v>
      </c>
      <c r="G124" s="10">
        <f t="shared" si="165"/>
        <v>33411</v>
      </c>
      <c r="H124" s="10">
        <f t="shared" si="165"/>
        <v>33384</v>
      </c>
      <c r="I124" s="10">
        <f t="shared" si="165"/>
        <v>33177</v>
      </c>
      <c r="J124" s="10">
        <f t="shared" si="165"/>
        <v>35957</v>
      </c>
      <c r="K124" s="10">
        <f t="shared" si="165"/>
        <v>35471</v>
      </c>
      <c r="L124" s="10">
        <f t="shared" ref="L124:AC124" si="166">L125+L130+L135</f>
        <v>35003</v>
      </c>
      <c r="M124" s="10">
        <f t="shared" si="166"/>
        <v>37944</v>
      </c>
      <c r="N124" s="10">
        <f t="shared" si="166"/>
        <v>37171</v>
      </c>
      <c r="O124" s="10">
        <f t="shared" si="166"/>
        <v>38283</v>
      </c>
      <c r="P124" s="9">
        <f t="shared" si="166"/>
        <v>40412</v>
      </c>
      <c r="Q124" s="9">
        <f t="shared" si="166"/>
        <v>38400</v>
      </c>
      <c r="R124" s="9">
        <f t="shared" si="166"/>
        <v>36827</v>
      </c>
      <c r="S124" s="9">
        <f t="shared" ref="S124:AB124" si="167">S125+S130+S135</f>
        <v>37083</v>
      </c>
      <c r="T124" s="9">
        <f t="shared" si="167"/>
        <v>38609</v>
      </c>
      <c r="U124" s="9">
        <f t="shared" si="167"/>
        <v>38161</v>
      </c>
      <c r="V124" s="9">
        <f t="shared" si="167"/>
        <v>40883</v>
      </c>
      <c r="W124" s="10">
        <f t="shared" si="167"/>
        <v>42825</v>
      </c>
      <c r="X124" s="10">
        <f t="shared" si="167"/>
        <v>43906</v>
      </c>
      <c r="Y124" s="10">
        <f t="shared" si="167"/>
        <v>44169</v>
      </c>
      <c r="Z124" s="10">
        <f t="shared" si="167"/>
        <v>45441</v>
      </c>
      <c r="AA124" s="10">
        <f t="shared" si="167"/>
        <v>45086.46</v>
      </c>
      <c r="AB124" s="10">
        <f t="shared" si="167"/>
        <v>45822.07</v>
      </c>
      <c r="AC124" s="10">
        <f t="shared" si="166"/>
        <v>46004.59</v>
      </c>
    </row>
    <row r="125" spans="1:30" s="5" customFormat="1" ht="12.75" customHeight="1">
      <c r="A125" s="10" t="s">
        <v>19</v>
      </c>
      <c r="B125" s="10"/>
      <c r="C125" s="10"/>
      <c r="D125" s="10"/>
      <c r="E125" s="10"/>
      <c r="F125" s="10">
        <f t="shared" ref="F125:K125" si="168">F126+F127+F128</f>
        <v>1577</v>
      </c>
      <c r="G125" s="10">
        <f t="shared" si="168"/>
        <v>1291</v>
      </c>
      <c r="H125" s="10">
        <f t="shared" si="168"/>
        <v>1530</v>
      </c>
      <c r="I125" s="10">
        <f t="shared" si="168"/>
        <v>1354</v>
      </c>
      <c r="J125" s="10">
        <f t="shared" si="168"/>
        <v>1314</v>
      </c>
      <c r="K125" s="10">
        <f t="shared" si="168"/>
        <v>1430</v>
      </c>
      <c r="L125" s="10">
        <f t="shared" ref="L125:AC125" si="169">L126+L127+L128</f>
        <v>1273</v>
      </c>
      <c r="M125" s="10">
        <f t="shared" si="169"/>
        <v>1141</v>
      </c>
      <c r="N125" s="10">
        <f t="shared" si="169"/>
        <v>1238</v>
      </c>
      <c r="O125" s="10">
        <f t="shared" si="169"/>
        <v>1714</v>
      </c>
      <c r="P125" s="9">
        <f t="shared" si="169"/>
        <v>1631</v>
      </c>
      <c r="Q125" s="9">
        <f t="shared" si="169"/>
        <v>1584</v>
      </c>
      <c r="R125" s="9">
        <f t="shared" si="169"/>
        <v>1304</v>
      </c>
      <c r="S125" s="9">
        <f t="shared" ref="S125:AB125" si="170">S126+S127+S128</f>
        <v>1499</v>
      </c>
      <c r="T125" s="9">
        <f t="shared" si="170"/>
        <v>1320</v>
      </c>
      <c r="U125" s="9">
        <f t="shared" si="170"/>
        <v>1438</v>
      </c>
      <c r="V125" s="9">
        <f t="shared" si="170"/>
        <v>1262</v>
      </c>
      <c r="W125" s="10">
        <f t="shared" si="170"/>
        <v>1627</v>
      </c>
      <c r="X125" s="10">
        <f t="shared" si="170"/>
        <v>1353</v>
      </c>
      <c r="Y125" s="10">
        <f t="shared" si="170"/>
        <v>1613</v>
      </c>
      <c r="Z125" s="10">
        <f t="shared" si="170"/>
        <v>1598</v>
      </c>
      <c r="AA125" s="10">
        <f t="shared" si="170"/>
        <v>1412</v>
      </c>
      <c r="AB125" s="10">
        <f t="shared" si="170"/>
        <v>877</v>
      </c>
      <c r="AC125" s="10">
        <f t="shared" si="169"/>
        <v>993.5</v>
      </c>
    </row>
    <row r="126" spans="1:30" s="4" customFormat="1" ht="12.75" customHeight="1">
      <c r="A126" s="8" t="s">
        <v>2</v>
      </c>
      <c r="B126" s="8"/>
      <c r="C126" s="8"/>
      <c r="D126" s="8"/>
      <c r="E126" s="8"/>
      <c r="F126" s="12">
        <v>518</v>
      </c>
      <c r="G126" s="12">
        <f>464</f>
        <v>464</v>
      </c>
      <c r="H126" s="12">
        <v>503</v>
      </c>
      <c r="I126" s="12">
        <v>378</v>
      </c>
      <c r="J126" s="12">
        <v>345</v>
      </c>
      <c r="K126" s="12">
        <v>309</v>
      </c>
      <c r="L126" s="12">
        <v>304</v>
      </c>
      <c r="M126" s="12">
        <v>156</v>
      </c>
      <c r="N126" s="12">
        <v>330</v>
      </c>
      <c r="O126" s="12">
        <v>381</v>
      </c>
      <c r="P126" s="21">
        <v>326</v>
      </c>
      <c r="Q126" s="21">
        <v>279</v>
      </c>
      <c r="R126" s="21">
        <v>192</v>
      </c>
      <c r="S126" s="21">
        <v>195</v>
      </c>
      <c r="T126" s="21">
        <v>195</v>
      </c>
      <c r="U126" s="21">
        <v>210</v>
      </c>
      <c r="V126" s="21">
        <v>99</v>
      </c>
      <c r="W126" s="19">
        <v>75</v>
      </c>
      <c r="X126" s="19">
        <v>72</v>
      </c>
      <c r="Y126" s="19">
        <v>79</v>
      </c>
      <c r="Z126" s="19">
        <v>64</v>
      </c>
      <c r="AA126" s="19">
        <v>32</v>
      </c>
      <c r="AB126" s="19">
        <v>0</v>
      </c>
      <c r="AC126" s="19">
        <v>32</v>
      </c>
    </row>
    <row r="127" spans="1:30" ht="12.75" customHeight="1">
      <c r="A127" s="8" t="s">
        <v>3</v>
      </c>
      <c r="B127" s="8"/>
      <c r="C127" s="8"/>
      <c r="D127" s="8"/>
      <c r="E127" s="8"/>
      <c r="F127" s="12">
        <v>807</v>
      </c>
      <c r="G127" s="12">
        <f>408+241</f>
        <v>649</v>
      </c>
      <c r="H127" s="12">
        <f>475+290</f>
        <v>765</v>
      </c>
      <c r="I127" s="12">
        <f>466+230</f>
        <v>696</v>
      </c>
      <c r="J127" s="12">
        <f>462+258</f>
        <v>720</v>
      </c>
      <c r="K127" s="12">
        <v>896</v>
      </c>
      <c r="L127" s="12">
        <v>760</v>
      </c>
      <c r="M127" s="12">
        <v>764</v>
      </c>
      <c r="N127" s="12">
        <v>683</v>
      </c>
      <c r="O127" s="12">
        <v>975</v>
      </c>
      <c r="P127" s="21">
        <v>1031</v>
      </c>
      <c r="Q127" s="21">
        <v>1071</v>
      </c>
      <c r="R127" s="21">
        <v>716</v>
      </c>
      <c r="S127" s="21">
        <v>951</v>
      </c>
      <c r="T127" s="21">
        <v>790</v>
      </c>
      <c r="U127" s="21">
        <v>802</v>
      </c>
      <c r="V127" s="21">
        <v>726</v>
      </c>
      <c r="W127" s="20">
        <v>879</v>
      </c>
      <c r="X127" s="20">
        <v>797</v>
      </c>
      <c r="Y127" s="20">
        <v>1012</v>
      </c>
      <c r="Z127" s="20">
        <v>864</v>
      </c>
      <c r="AA127" s="20">
        <v>821</v>
      </c>
      <c r="AB127" s="20">
        <v>513</v>
      </c>
      <c r="AC127" s="20">
        <v>590</v>
      </c>
    </row>
    <row r="128" spans="1:30" ht="12.75" customHeight="1">
      <c r="A128" s="8" t="s">
        <v>24</v>
      </c>
      <c r="B128" s="8"/>
      <c r="C128" s="8"/>
      <c r="D128" s="8"/>
      <c r="E128" s="8"/>
      <c r="F128" s="12">
        <v>252</v>
      </c>
      <c r="G128" s="12">
        <v>178</v>
      </c>
      <c r="H128" s="12">
        <v>262</v>
      </c>
      <c r="I128" s="12">
        <v>280</v>
      </c>
      <c r="J128" s="12">
        <v>249</v>
      </c>
      <c r="K128" s="12">
        <v>225</v>
      </c>
      <c r="L128" s="12">
        <v>209</v>
      </c>
      <c r="M128" s="12">
        <v>221</v>
      </c>
      <c r="N128" s="12">
        <v>225</v>
      </c>
      <c r="O128" s="12">
        <v>358</v>
      </c>
      <c r="P128" s="21">
        <v>274</v>
      </c>
      <c r="Q128" s="21">
        <v>234</v>
      </c>
      <c r="R128" s="21">
        <v>396</v>
      </c>
      <c r="S128" s="21">
        <v>353</v>
      </c>
      <c r="T128" s="21">
        <v>335</v>
      </c>
      <c r="U128" s="21">
        <v>426</v>
      </c>
      <c r="V128" s="21">
        <v>437</v>
      </c>
      <c r="W128" s="20">
        <v>673</v>
      </c>
      <c r="X128" s="20">
        <v>484</v>
      </c>
      <c r="Y128" s="20">
        <v>522</v>
      </c>
      <c r="Z128" s="20">
        <v>670</v>
      </c>
      <c r="AA128" s="20">
        <v>559</v>
      </c>
      <c r="AB128" s="20">
        <v>364</v>
      </c>
      <c r="AC128" s="20">
        <v>371.5</v>
      </c>
    </row>
    <row r="129" spans="1:29" ht="12.75" customHeight="1">
      <c r="A129" s="13"/>
      <c r="B129" s="13"/>
      <c r="C129" s="13"/>
      <c r="D129" s="8"/>
      <c r="E129" s="8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1:29" s="5" customFormat="1" ht="12.75" customHeight="1">
      <c r="A130" s="10" t="s">
        <v>20</v>
      </c>
      <c r="B130" s="10"/>
      <c r="C130" s="10"/>
      <c r="D130" s="10"/>
      <c r="E130" s="10"/>
      <c r="F130" s="10">
        <f t="shared" ref="F130:K130" si="171">F131+F132+F133</f>
        <v>17744</v>
      </c>
      <c r="G130" s="10">
        <f t="shared" si="171"/>
        <v>17091</v>
      </c>
      <c r="H130" s="10">
        <f t="shared" si="171"/>
        <v>16425</v>
      </c>
      <c r="I130" s="10">
        <f t="shared" si="171"/>
        <v>16104</v>
      </c>
      <c r="J130" s="10">
        <f t="shared" si="171"/>
        <v>18544</v>
      </c>
      <c r="K130" s="10">
        <f t="shared" si="171"/>
        <v>17914</v>
      </c>
      <c r="L130" s="10">
        <f t="shared" ref="L130:AC130" si="172">L131+L132+L133</f>
        <v>17640</v>
      </c>
      <c r="M130" s="10">
        <f t="shared" si="172"/>
        <v>19692</v>
      </c>
      <c r="N130" s="10">
        <f t="shared" si="172"/>
        <v>18087</v>
      </c>
      <c r="O130" s="10">
        <f t="shared" si="172"/>
        <v>18826</v>
      </c>
      <c r="P130" s="9">
        <f t="shared" si="172"/>
        <v>20254</v>
      </c>
      <c r="Q130" s="9">
        <f t="shared" si="172"/>
        <v>19370</v>
      </c>
      <c r="R130" s="9">
        <f t="shared" si="172"/>
        <v>19071</v>
      </c>
      <c r="S130" s="9">
        <f t="shared" ref="S130:AB130" si="173">S131+S132+S133</f>
        <v>18967</v>
      </c>
      <c r="T130" s="9">
        <f t="shared" si="173"/>
        <v>19965</v>
      </c>
      <c r="U130" s="9">
        <f t="shared" si="173"/>
        <v>19063</v>
      </c>
      <c r="V130" s="9">
        <f t="shared" si="173"/>
        <v>20540</v>
      </c>
      <c r="W130" s="10">
        <f t="shared" si="173"/>
        <v>21238</v>
      </c>
      <c r="X130" s="10">
        <f t="shared" si="173"/>
        <v>21789</v>
      </c>
      <c r="Y130" s="10">
        <f t="shared" si="173"/>
        <v>21734</v>
      </c>
      <c r="Z130" s="10">
        <f t="shared" si="173"/>
        <v>22598</v>
      </c>
      <c r="AA130" s="10">
        <f t="shared" si="173"/>
        <v>22892.5</v>
      </c>
      <c r="AB130" s="10">
        <f t="shared" si="173"/>
        <v>22943.98</v>
      </c>
      <c r="AC130" s="10">
        <f t="shared" si="172"/>
        <v>22780.46</v>
      </c>
    </row>
    <row r="131" spans="1:29" ht="12.75" customHeight="1">
      <c r="A131" s="8" t="s">
        <v>2</v>
      </c>
      <c r="B131" s="8"/>
      <c r="C131" s="8"/>
      <c r="D131" s="8"/>
      <c r="E131" s="8"/>
      <c r="F131" s="12">
        <v>9169</v>
      </c>
      <c r="G131" s="12">
        <f>8720</f>
        <v>8720</v>
      </c>
      <c r="H131" s="12">
        <v>8134</v>
      </c>
      <c r="I131" s="12">
        <v>8648</v>
      </c>
      <c r="J131" s="12">
        <v>10200</v>
      </c>
      <c r="K131" s="12">
        <v>10120</v>
      </c>
      <c r="L131" s="12">
        <v>9619</v>
      </c>
      <c r="M131" s="12">
        <v>10873</v>
      </c>
      <c r="N131" s="12">
        <v>10027</v>
      </c>
      <c r="O131" s="12">
        <v>9955</v>
      </c>
      <c r="P131" s="21">
        <v>10714</v>
      </c>
      <c r="Q131" s="21">
        <v>9715</v>
      </c>
      <c r="R131" s="21">
        <v>9928</v>
      </c>
      <c r="S131" s="21">
        <v>10032</v>
      </c>
      <c r="T131" s="21">
        <v>10584</v>
      </c>
      <c r="U131" s="21">
        <v>10336</v>
      </c>
      <c r="V131" s="21">
        <v>10807</v>
      </c>
      <c r="W131" s="19">
        <v>10660</v>
      </c>
      <c r="X131" s="19">
        <v>11052</v>
      </c>
      <c r="Y131" s="19">
        <v>10595</v>
      </c>
      <c r="Z131" s="19">
        <v>10587</v>
      </c>
      <c r="AA131" s="19">
        <v>10458.75</v>
      </c>
      <c r="AB131" s="19">
        <v>10741.34</v>
      </c>
      <c r="AC131" s="19">
        <v>10388.81</v>
      </c>
    </row>
    <row r="132" spans="1:29" ht="12.75" customHeight="1">
      <c r="A132" s="8" t="s">
        <v>3</v>
      </c>
      <c r="B132" s="8"/>
      <c r="C132" s="8"/>
      <c r="D132" s="8"/>
      <c r="E132" s="8"/>
      <c r="F132" s="12">
        <v>7548</v>
      </c>
      <c r="G132" s="12">
        <f>6854+437</f>
        <v>7291</v>
      </c>
      <c r="H132" s="12">
        <f>6782+536</f>
        <v>7318</v>
      </c>
      <c r="I132" s="12">
        <f>6108+381</f>
        <v>6489</v>
      </c>
      <c r="J132" s="12">
        <f>6852+495</f>
        <v>7347</v>
      </c>
      <c r="K132" s="12">
        <v>6910</v>
      </c>
      <c r="L132" s="12">
        <v>7230</v>
      </c>
      <c r="M132" s="12">
        <v>7862</v>
      </c>
      <c r="N132" s="12">
        <v>7224</v>
      </c>
      <c r="O132" s="12">
        <v>7684</v>
      </c>
      <c r="P132" s="21">
        <v>8121</v>
      </c>
      <c r="Q132" s="21">
        <v>7973</v>
      </c>
      <c r="R132" s="21">
        <v>7525</v>
      </c>
      <c r="S132" s="21">
        <v>7276</v>
      </c>
      <c r="T132" s="21">
        <v>7643</v>
      </c>
      <c r="U132" s="21">
        <v>7015</v>
      </c>
      <c r="V132" s="21">
        <v>7887</v>
      </c>
      <c r="W132" s="20">
        <v>8487</v>
      </c>
      <c r="X132" s="20">
        <v>8732</v>
      </c>
      <c r="Y132" s="20">
        <v>9057</v>
      </c>
      <c r="Z132" s="20">
        <v>9528</v>
      </c>
      <c r="AA132" s="20">
        <v>9866.75</v>
      </c>
      <c r="AB132" s="20">
        <v>9435.64</v>
      </c>
      <c r="AC132" s="20">
        <v>9833.4</v>
      </c>
    </row>
    <row r="133" spans="1:29" ht="12.75" customHeight="1">
      <c r="A133" s="8" t="s">
        <v>24</v>
      </c>
      <c r="B133" s="8"/>
      <c r="C133" s="8"/>
      <c r="D133" s="8"/>
      <c r="E133" s="8"/>
      <c r="F133" s="12">
        <v>1027</v>
      </c>
      <c r="G133" s="12">
        <v>1080</v>
      </c>
      <c r="H133" s="12">
        <v>973</v>
      </c>
      <c r="I133" s="12">
        <v>967</v>
      </c>
      <c r="J133" s="12">
        <v>997</v>
      </c>
      <c r="K133" s="12">
        <v>884</v>
      </c>
      <c r="L133" s="12">
        <v>791</v>
      </c>
      <c r="M133" s="12">
        <v>957</v>
      </c>
      <c r="N133" s="12">
        <v>836</v>
      </c>
      <c r="O133" s="12">
        <v>1187</v>
      </c>
      <c r="P133" s="21">
        <v>1419</v>
      </c>
      <c r="Q133" s="21">
        <v>1682</v>
      </c>
      <c r="R133" s="21">
        <v>1618</v>
      </c>
      <c r="S133" s="21">
        <v>1659</v>
      </c>
      <c r="T133" s="21">
        <v>1738</v>
      </c>
      <c r="U133" s="21">
        <v>1712</v>
      </c>
      <c r="V133" s="21">
        <v>1846</v>
      </c>
      <c r="W133" s="20">
        <v>2091</v>
      </c>
      <c r="X133" s="20">
        <v>2005</v>
      </c>
      <c r="Y133" s="20">
        <v>2082</v>
      </c>
      <c r="Z133" s="20">
        <v>2483</v>
      </c>
      <c r="AA133" s="20">
        <v>2567</v>
      </c>
      <c r="AB133" s="20">
        <v>2767</v>
      </c>
      <c r="AC133" s="20">
        <v>2558.25</v>
      </c>
    </row>
    <row r="134" spans="1:29" ht="12.75" customHeight="1">
      <c r="A134" s="13"/>
      <c r="B134" s="13"/>
      <c r="C134" s="13"/>
      <c r="D134" s="8"/>
      <c r="E134" s="8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21"/>
      <c r="Q134" s="21"/>
      <c r="R134" s="21"/>
      <c r="S134" s="21"/>
      <c r="T134" s="21"/>
      <c r="U134" s="21"/>
      <c r="V134" s="21"/>
      <c r="W134" s="12"/>
      <c r="X134" s="12"/>
      <c r="Y134" s="12"/>
      <c r="Z134" s="12"/>
      <c r="AA134" s="12"/>
      <c r="AB134" s="12"/>
      <c r="AC134" s="12"/>
    </row>
    <row r="135" spans="1:29" s="5" customFormat="1" ht="12.75" customHeight="1">
      <c r="A135" s="10" t="s">
        <v>21</v>
      </c>
      <c r="B135" s="10"/>
      <c r="C135" s="10"/>
      <c r="D135" s="10"/>
      <c r="E135" s="10"/>
      <c r="F135" s="10">
        <f t="shared" ref="F135:K135" si="174">F136+F137+F138</f>
        <v>16933</v>
      </c>
      <c r="G135" s="10">
        <f t="shared" si="174"/>
        <v>15029</v>
      </c>
      <c r="H135" s="10">
        <f t="shared" si="174"/>
        <v>15429</v>
      </c>
      <c r="I135" s="10">
        <f t="shared" si="174"/>
        <v>15719</v>
      </c>
      <c r="J135" s="10">
        <f t="shared" si="174"/>
        <v>16099</v>
      </c>
      <c r="K135" s="10">
        <f t="shared" si="174"/>
        <v>16127</v>
      </c>
      <c r="L135" s="10">
        <f t="shared" ref="L135:AC135" si="175">L136+L137+L138</f>
        <v>16090</v>
      </c>
      <c r="M135" s="10">
        <f t="shared" si="175"/>
        <v>17111</v>
      </c>
      <c r="N135" s="10">
        <f t="shared" si="175"/>
        <v>17846</v>
      </c>
      <c r="O135" s="10">
        <f t="shared" si="175"/>
        <v>17743</v>
      </c>
      <c r="P135" s="9">
        <f t="shared" si="175"/>
        <v>18527</v>
      </c>
      <c r="Q135" s="9">
        <f t="shared" si="175"/>
        <v>17446</v>
      </c>
      <c r="R135" s="9">
        <f t="shared" si="175"/>
        <v>16452</v>
      </c>
      <c r="S135" s="9">
        <f t="shared" ref="S135:AB135" si="176">S136+S137+S138</f>
        <v>16617</v>
      </c>
      <c r="T135" s="9">
        <f t="shared" si="176"/>
        <v>17324</v>
      </c>
      <c r="U135" s="9">
        <f t="shared" si="176"/>
        <v>17660</v>
      </c>
      <c r="V135" s="9">
        <f t="shared" si="176"/>
        <v>19081</v>
      </c>
      <c r="W135" s="10">
        <f t="shared" si="176"/>
        <v>19960</v>
      </c>
      <c r="X135" s="10">
        <f t="shared" si="176"/>
        <v>20764</v>
      </c>
      <c r="Y135" s="10">
        <f t="shared" si="176"/>
        <v>20822</v>
      </c>
      <c r="Z135" s="10">
        <f t="shared" si="176"/>
        <v>21245</v>
      </c>
      <c r="AA135" s="10">
        <f t="shared" si="176"/>
        <v>20781.96</v>
      </c>
      <c r="AB135" s="10">
        <f t="shared" si="176"/>
        <v>22001.09</v>
      </c>
      <c r="AC135" s="10">
        <f t="shared" si="175"/>
        <v>22230.63</v>
      </c>
    </row>
    <row r="136" spans="1:29" ht="12.75" customHeight="1">
      <c r="A136" s="8" t="s">
        <v>2</v>
      </c>
      <c r="B136" s="8"/>
      <c r="C136" s="8"/>
      <c r="D136" s="8"/>
      <c r="E136" s="8"/>
      <c r="F136" s="12">
        <v>8377</v>
      </c>
      <c r="G136" s="12">
        <f>6987</f>
        <v>6987</v>
      </c>
      <c r="H136" s="12">
        <v>7462</v>
      </c>
      <c r="I136" s="12">
        <v>7757</v>
      </c>
      <c r="J136" s="12">
        <v>8153</v>
      </c>
      <c r="K136" s="12">
        <v>8089</v>
      </c>
      <c r="L136" s="12">
        <v>8038</v>
      </c>
      <c r="M136" s="12">
        <v>8561</v>
      </c>
      <c r="N136" s="12">
        <v>9051</v>
      </c>
      <c r="O136" s="12">
        <v>8904</v>
      </c>
      <c r="P136" s="21">
        <v>8814</v>
      </c>
      <c r="Q136" s="21">
        <v>7792</v>
      </c>
      <c r="R136" s="21">
        <v>7590</v>
      </c>
      <c r="S136" s="21">
        <v>7469</v>
      </c>
      <c r="T136" s="21">
        <v>7982</v>
      </c>
      <c r="U136" s="21">
        <v>8391</v>
      </c>
      <c r="V136" s="21">
        <v>8303</v>
      </c>
      <c r="W136" s="19">
        <v>8462</v>
      </c>
      <c r="X136" s="19">
        <v>8639</v>
      </c>
      <c r="Y136" s="19">
        <v>8434</v>
      </c>
      <c r="Z136" s="19">
        <v>8666</v>
      </c>
      <c r="AA136" s="19">
        <v>9034.6200000000008</v>
      </c>
      <c r="AB136" s="19">
        <v>9034.84</v>
      </c>
      <c r="AC136" s="19">
        <v>9338.5400000000009</v>
      </c>
    </row>
    <row r="137" spans="1:29" ht="12.75" customHeight="1">
      <c r="A137" s="8" t="s">
        <v>3</v>
      </c>
      <c r="B137" s="8"/>
      <c r="C137" s="8"/>
      <c r="D137" s="8"/>
      <c r="E137" s="8"/>
      <c r="F137" s="12">
        <v>7409</v>
      </c>
      <c r="G137" s="12">
        <f>6293+569</f>
        <v>6862</v>
      </c>
      <c r="H137" s="12">
        <f>6469+437</f>
        <v>6906</v>
      </c>
      <c r="I137" s="12">
        <f>6152+453</f>
        <v>6605</v>
      </c>
      <c r="J137" s="12">
        <v>6820</v>
      </c>
      <c r="K137" s="12">
        <v>6924</v>
      </c>
      <c r="L137" s="12">
        <v>6918</v>
      </c>
      <c r="M137" s="12">
        <v>7649</v>
      </c>
      <c r="N137" s="12">
        <v>7703</v>
      </c>
      <c r="O137" s="12">
        <v>7580</v>
      </c>
      <c r="P137" s="21">
        <v>8159</v>
      </c>
      <c r="Q137" s="21">
        <v>8072</v>
      </c>
      <c r="R137" s="21">
        <v>7548</v>
      </c>
      <c r="S137" s="21">
        <v>7945</v>
      </c>
      <c r="T137" s="21">
        <v>7749</v>
      </c>
      <c r="U137" s="21">
        <v>7550</v>
      </c>
      <c r="V137" s="21">
        <v>8878</v>
      </c>
      <c r="W137" s="20">
        <v>8537</v>
      </c>
      <c r="X137" s="20">
        <v>9049</v>
      </c>
      <c r="Y137" s="20">
        <v>8350</v>
      </c>
      <c r="Z137" s="20">
        <v>8528</v>
      </c>
      <c r="AA137" s="20">
        <v>8037.09</v>
      </c>
      <c r="AB137" s="20">
        <v>9430</v>
      </c>
      <c r="AC137" s="20">
        <v>9264.59</v>
      </c>
    </row>
    <row r="138" spans="1:29" ht="12.75" customHeight="1">
      <c r="A138" s="8" t="s">
        <v>24</v>
      </c>
      <c r="B138" s="8"/>
      <c r="C138" s="8"/>
      <c r="D138" s="8"/>
      <c r="E138" s="8"/>
      <c r="F138" s="12">
        <v>1147</v>
      </c>
      <c r="G138" s="12">
        <v>1180</v>
      </c>
      <c r="H138" s="12">
        <v>1061</v>
      </c>
      <c r="I138" s="12">
        <v>1357</v>
      </c>
      <c r="J138" s="12">
        <v>1126</v>
      </c>
      <c r="K138" s="12">
        <v>1114</v>
      </c>
      <c r="L138" s="12">
        <v>1134</v>
      </c>
      <c r="M138" s="12">
        <v>901</v>
      </c>
      <c r="N138" s="12">
        <v>1092</v>
      </c>
      <c r="O138" s="12">
        <v>1259</v>
      </c>
      <c r="P138" s="21">
        <v>1554</v>
      </c>
      <c r="Q138" s="21">
        <v>1582</v>
      </c>
      <c r="R138" s="21">
        <v>1314</v>
      </c>
      <c r="S138" s="21">
        <v>1203</v>
      </c>
      <c r="T138" s="21">
        <v>1593</v>
      </c>
      <c r="U138" s="21">
        <v>1719</v>
      </c>
      <c r="V138" s="21">
        <v>1900</v>
      </c>
      <c r="W138" s="20">
        <v>2961</v>
      </c>
      <c r="X138" s="20">
        <v>3076</v>
      </c>
      <c r="Y138" s="20">
        <v>4038</v>
      </c>
      <c r="Z138" s="20">
        <v>4051</v>
      </c>
      <c r="AA138" s="20">
        <v>3710.25</v>
      </c>
      <c r="AB138" s="20">
        <v>3536.25</v>
      </c>
      <c r="AC138" s="20">
        <v>3627.5</v>
      </c>
    </row>
    <row r="139" spans="1:29" ht="12.75" customHeight="1">
      <c r="A139" s="13"/>
      <c r="B139" s="13"/>
      <c r="C139" s="13"/>
      <c r="D139" s="8"/>
      <c r="E139" s="8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21"/>
      <c r="Q139" s="21"/>
      <c r="R139" s="21"/>
      <c r="S139" s="21"/>
      <c r="T139" s="21"/>
      <c r="U139" s="21"/>
      <c r="V139" s="21"/>
      <c r="W139" s="12"/>
      <c r="X139" s="12"/>
      <c r="Y139" s="12"/>
      <c r="Z139" s="12"/>
      <c r="AA139" s="12"/>
      <c r="AB139" s="12"/>
      <c r="AC139" s="12"/>
    </row>
    <row r="140" spans="1:29" s="5" customFormat="1" ht="12.75" customHeight="1">
      <c r="A140" s="9" t="s">
        <v>22</v>
      </c>
      <c r="B140" s="9"/>
      <c r="C140" s="9"/>
      <c r="D140" s="10"/>
      <c r="E140" s="10"/>
      <c r="F140" s="10">
        <f t="shared" ref="F140:K143" si="177">F125+F130+F135</f>
        <v>36254</v>
      </c>
      <c r="G140" s="10">
        <f t="shared" si="177"/>
        <v>33411</v>
      </c>
      <c r="H140" s="10">
        <f t="shared" si="177"/>
        <v>33384</v>
      </c>
      <c r="I140" s="10">
        <f t="shared" si="177"/>
        <v>33177</v>
      </c>
      <c r="J140" s="10">
        <f t="shared" si="177"/>
        <v>35957</v>
      </c>
      <c r="K140" s="10">
        <f t="shared" si="177"/>
        <v>35471</v>
      </c>
      <c r="L140" s="10">
        <f t="shared" ref="L140:M143" si="178">L125+L130+L135</f>
        <v>35003</v>
      </c>
      <c r="M140" s="10">
        <f t="shared" si="178"/>
        <v>37944</v>
      </c>
      <c r="N140" s="10">
        <f t="shared" ref="N140:O143" si="179">N125+N130+N135</f>
        <v>37171</v>
      </c>
      <c r="O140" s="10">
        <f t="shared" si="179"/>
        <v>38283</v>
      </c>
      <c r="P140" s="9">
        <f t="shared" ref="P140:R143" si="180">P125+P130+P135</f>
        <v>40412</v>
      </c>
      <c r="Q140" s="9">
        <f t="shared" si="180"/>
        <v>38400</v>
      </c>
      <c r="R140" s="9">
        <f t="shared" si="180"/>
        <v>36827</v>
      </c>
      <c r="S140" s="9">
        <f t="shared" ref="S140:V143" si="181">S125+S130+S135</f>
        <v>37083</v>
      </c>
      <c r="T140" s="9">
        <f t="shared" si="181"/>
        <v>38609</v>
      </c>
      <c r="U140" s="9">
        <f t="shared" si="181"/>
        <v>38161</v>
      </c>
      <c r="V140" s="9">
        <f t="shared" si="181"/>
        <v>40883</v>
      </c>
      <c r="W140" s="10">
        <f>W125+W130+W135</f>
        <v>42825</v>
      </c>
      <c r="X140" s="10">
        <f t="shared" ref="X140:Z143" si="182">X125+X130+X135</f>
        <v>43906</v>
      </c>
      <c r="Y140" s="10">
        <f t="shared" si="182"/>
        <v>44169</v>
      </c>
      <c r="Z140" s="10">
        <f t="shared" si="182"/>
        <v>45441</v>
      </c>
      <c r="AA140" s="10">
        <f t="shared" ref="AA140:AC143" si="183">AA125+AA130+AA135</f>
        <v>45086.46</v>
      </c>
      <c r="AB140" s="10">
        <f t="shared" ref="AB140" si="184">AB125+AB130+AB135</f>
        <v>45822.07</v>
      </c>
      <c r="AC140" s="10">
        <f t="shared" si="183"/>
        <v>46004.59</v>
      </c>
    </row>
    <row r="141" spans="1:29" s="5" customFormat="1" ht="12.75" customHeight="1">
      <c r="A141" s="97" t="s">
        <v>2</v>
      </c>
      <c r="B141" s="97"/>
      <c r="C141" s="97"/>
      <c r="D141" s="10"/>
      <c r="E141" s="10"/>
      <c r="F141" s="10">
        <f t="shared" si="177"/>
        <v>18064</v>
      </c>
      <c r="G141" s="10">
        <f t="shared" si="177"/>
        <v>16171</v>
      </c>
      <c r="H141" s="10">
        <f t="shared" si="177"/>
        <v>16099</v>
      </c>
      <c r="I141" s="10">
        <f t="shared" si="177"/>
        <v>16783</v>
      </c>
      <c r="J141" s="10">
        <f t="shared" si="177"/>
        <v>18698</v>
      </c>
      <c r="K141" s="10">
        <f t="shared" si="177"/>
        <v>18518</v>
      </c>
      <c r="L141" s="10">
        <f t="shared" si="178"/>
        <v>17961</v>
      </c>
      <c r="M141" s="10">
        <f t="shared" si="178"/>
        <v>19590</v>
      </c>
      <c r="N141" s="10">
        <f t="shared" si="179"/>
        <v>19408</v>
      </c>
      <c r="O141" s="10">
        <f t="shared" si="179"/>
        <v>19240</v>
      </c>
      <c r="P141" s="9">
        <f t="shared" si="180"/>
        <v>19854</v>
      </c>
      <c r="Q141" s="9">
        <f t="shared" si="180"/>
        <v>17786</v>
      </c>
      <c r="R141" s="9">
        <f t="shared" si="180"/>
        <v>17710</v>
      </c>
      <c r="S141" s="9">
        <f t="shared" si="181"/>
        <v>17696</v>
      </c>
      <c r="T141" s="9">
        <f t="shared" si="181"/>
        <v>18761</v>
      </c>
      <c r="U141" s="9">
        <f t="shared" si="181"/>
        <v>18937</v>
      </c>
      <c r="V141" s="10">
        <f t="shared" si="181"/>
        <v>19209</v>
      </c>
      <c r="W141" s="10">
        <f>W126+W131+W136</f>
        <v>19197</v>
      </c>
      <c r="X141" s="10">
        <f t="shared" si="182"/>
        <v>19763</v>
      </c>
      <c r="Y141" s="10">
        <f t="shared" si="182"/>
        <v>19108</v>
      </c>
      <c r="Z141" s="10">
        <f t="shared" si="182"/>
        <v>19317</v>
      </c>
      <c r="AA141" s="10">
        <f t="shared" si="183"/>
        <v>19525.370000000003</v>
      </c>
      <c r="AB141" s="10">
        <f t="shared" ref="AB141" si="185">AB126+AB131+AB136</f>
        <v>19776.18</v>
      </c>
      <c r="AC141" s="10">
        <f t="shared" si="183"/>
        <v>19759.349999999999</v>
      </c>
    </row>
    <row r="142" spans="1:29" s="5" customFormat="1" ht="12.75" customHeight="1">
      <c r="A142" s="97" t="s">
        <v>3</v>
      </c>
      <c r="B142" s="97"/>
      <c r="C142" s="97"/>
      <c r="D142" s="10"/>
      <c r="E142" s="10"/>
      <c r="F142" s="10">
        <f t="shared" si="177"/>
        <v>15764</v>
      </c>
      <c r="G142" s="10">
        <f t="shared" si="177"/>
        <v>14802</v>
      </c>
      <c r="H142" s="10">
        <f t="shared" si="177"/>
        <v>14989</v>
      </c>
      <c r="I142" s="10">
        <f t="shared" si="177"/>
        <v>13790</v>
      </c>
      <c r="J142" s="10">
        <f t="shared" si="177"/>
        <v>14887</v>
      </c>
      <c r="K142" s="10">
        <f t="shared" si="177"/>
        <v>14730</v>
      </c>
      <c r="L142" s="10">
        <f t="shared" si="178"/>
        <v>14908</v>
      </c>
      <c r="M142" s="10">
        <f t="shared" si="178"/>
        <v>16275</v>
      </c>
      <c r="N142" s="10">
        <f t="shared" si="179"/>
        <v>15610</v>
      </c>
      <c r="O142" s="10">
        <f t="shared" si="179"/>
        <v>16239</v>
      </c>
      <c r="P142" s="9">
        <f t="shared" si="180"/>
        <v>17311</v>
      </c>
      <c r="Q142" s="9">
        <f t="shared" si="180"/>
        <v>17116</v>
      </c>
      <c r="R142" s="9">
        <f t="shared" si="180"/>
        <v>15789</v>
      </c>
      <c r="S142" s="9">
        <f t="shared" si="181"/>
        <v>16172</v>
      </c>
      <c r="T142" s="9">
        <f t="shared" si="181"/>
        <v>16182</v>
      </c>
      <c r="U142" s="9">
        <f t="shared" si="181"/>
        <v>15367</v>
      </c>
      <c r="V142" s="10">
        <f t="shared" si="181"/>
        <v>17491</v>
      </c>
      <c r="W142" s="10">
        <f>W127+W132+W137</f>
        <v>17903</v>
      </c>
      <c r="X142" s="10">
        <f t="shared" si="182"/>
        <v>18578</v>
      </c>
      <c r="Y142" s="10">
        <f t="shared" si="182"/>
        <v>18419</v>
      </c>
      <c r="Z142" s="10">
        <f t="shared" si="182"/>
        <v>18920</v>
      </c>
      <c r="AA142" s="10">
        <f t="shared" si="183"/>
        <v>18724.84</v>
      </c>
      <c r="AB142" s="10">
        <f t="shared" ref="AB142" si="186">AB127+AB132+AB137</f>
        <v>19378.64</v>
      </c>
      <c r="AC142" s="10">
        <f t="shared" si="183"/>
        <v>19687.989999999998</v>
      </c>
    </row>
    <row r="143" spans="1:29" s="5" customFormat="1" ht="12.75" customHeight="1">
      <c r="A143" s="97" t="s">
        <v>24</v>
      </c>
      <c r="B143" s="97"/>
      <c r="C143" s="97"/>
      <c r="D143" s="10"/>
      <c r="E143" s="10"/>
      <c r="F143" s="10">
        <f t="shared" si="177"/>
        <v>2426</v>
      </c>
      <c r="G143" s="10">
        <f t="shared" si="177"/>
        <v>2438</v>
      </c>
      <c r="H143" s="10">
        <f t="shared" si="177"/>
        <v>2296</v>
      </c>
      <c r="I143" s="10">
        <f t="shared" si="177"/>
        <v>2604</v>
      </c>
      <c r="J143" s="10">
        <f t="shared" si="177"/>
        <v>2372</v>
      </c>
      <c r="K143" s="10">
        <f t="shared" si="177"/>
        <v>2223</v>
      </c>
      <c r="L143" s="10">
        <f t="shared" si="178"/>
        <v>2134</v>
      </c>
      <c r="M143" s="10">
        <f t="shared" si="178"/>
        <v>2079</v>
      </c>
      <c r="N143" s="10">
        <f t="shared" si="179"/>
        <v>2153</v>
      </c>
      <c r="O143" s="10">
        <f t="shared" si="179"/>
        <v>2804</v>
      </c>
      <c r="P143" s="9">
        <f t="shared" si="180"/>
        <v>3247</v>
      </c>
      <c r="Q143" s="9">
        <f t="shared" si="180"/>
        <v>3498</v>
      </c>
      <c r="R143" s="9">
        <f t="shared" si="180"/>
        <v>3328</v>
      </c>
      <c r="S143" s="9">
        <f t="shared" si="181"/>
        <v>3215</v>
      </c>
      <c r="T143" s="9">
        <f t="shared" si="181"/>
        <v>3666</v>
      </c>
      <c r="U143" s="9">
        <f t="shared" si="181"/>
        <v>3857</v>
      </c>
      <c r="V143" s="10">
        <f t="shared" si="181"/>
        <v>4183</v>
      </c>
      <c r="W143" s="10">
        <f>W128+W133+W138</f>
        <v>5725</v>
      </c>
      <c r="X143" s="10">
        <f t="shared" si="182"/>
        <v>5565</v>
      </c>
      <c r="Y143" s="10">
        <f t="shared" si="182"/>
        <v>6642</v>
      </c>
      <c r="Z143" s="10">
        <f t="shared" si="182"/>
        <v>7204</v>
      </c>
      <c r="AA143" s="10">
        <f t="shared" si="183"/>
        <v>6836.25</v>
      </c>
      <c r="AB143" s="10">
        <f t="shared" ref="AB143" si="187">AB128+AB133+AB138</f>
        <v>6667.25</v>
      </c>
      <c r="AC143" s="10">
        <f t="shared" si="183"/>
        <v>6557.25</v>
      </c>
    </row>
    <row r="144" spans="1:29" s="6" customFormat="1" ht="12.75" customHeight="1">
      <c r="A144" s="15"/>
      <c r="B144" s="15"/>
      <c r="C144" s="15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9"/>
      <c r="Q144" s="9"/>
      <c r="R144" s="9"/>
      <c r="S144" s="9"/>
      <c r="T144" s="9"/>
      <c r="U144" s="9"/>
      <c r="V144" s="10"/>
      <c r="W144" s="10"/>
      <c r="X144" s="10"/>
      <c r="Y144" s="10"/>
      <c r="Z144" s="10"/>
      <c r="AA144" s="10"/>
      <c r="AB144" s="10"/>
      <c r="AC144" s="10"/>
    </row>
    <row r="145" spans="1:29" s="5" customFormat="1" ht="12.75" hidden="1" customHeight="1" thickBot="1">
      <c r="A145" s="38" t="s">
        <v>14</v>
      </c>
      <c r="B145" s="38"/>
      <c r="C145" s="38"/>
      <c r="D145" s="39"/>
      <c r="E145" s="39"/>
      <c r="F145" s="39" t="s">
        <v>15</v>
      </c>
      <c r="G145" s="39" t="s">
        <v>16</v>
      </c>
      <c r="H145" s="39" t="s">
        <v>17</v>
      </c>
      <c r="I145" s="39" t="s">
        <v>18</v>
      </c>
      <c r="J145" s="39" t="s">
        <v>23</v>
      </c>
      <c r="K145" s="39" t="s">
        <v>25</v>
      </c>
      <c r="L145" s="39" t="s">
        <v>26</v>
      </c>
      <c r="M145" s="39" t="s">
        <v>40</v>
      </c>
      <c r="N145" s="39" t="s">
        <v>46</v>
      </c>
      <c r="O145" s="39" t="s">
        <v>47</v>
      </c>
      <c r="P145" s="39" t="s">
        <v>48</v>
      </c>
      <c r="Q145" s="39" t="s">
        <v>52</v>
      </c>
      <c r="R145" s="40" t="s">
        <v>55</v>
      </c>
      <c r="S145" s="40" t="s">
        <v>57</v>
      </c>
      <c r="T145" s="40" t="s">
        <v>60</v>
      </c>
      <c r="U145" s="40" t="s">
        <v>62</v>
      </c>
      <c r="V145" s="40" t="s">
        <v>65</v>
      </c>
      <c r="W145" s="40" t="s">
        <v>67</v>
      </c>
      <c r="X145" s="40" t="s">
        <v>69</v>
      </c>
      <c r="Y145" s="40" t="s">
        <v>71</v>
      </c>
      <c r="Z145" s="40" t="s">
        <v>71</v>
      </c>
      <c r="AA145" s="40" t="s">
        <v>71</v>
      </c>
      <c r="AB145" s="40" t="s">
        <v>71</v>
      </c>
      <c r="AC145" s="40" t="s">
        <v>71</v>
      </c>
    </row>
    <row r="146" spans="1:29" s="5" customFormat="1" ht="12.75" hidden="1" customHeight="1">
      <c r="A146" s="23" t="s">
        <v>7</v>
      </c>
      <c r="B146" s="10"/>
      <c r="C146" s="10"/>
      <c r="D146" s="10"/>
      <c r="E146" s="10"/>
      <c r="F146" s="10">
        <f t="shared" ref="F146:K146" si="188">F147+F152+F157</f>
        <v>46193</v>
      </c>
      <c r="G146" s="10">
        <f t="shared" si="188"/>
        <v>45311</v>
      </c>
      <c r="H146" s="10">
        <f t="shared" si="188"/>
        <v>46248</v>
      </c>
      <c r="I146" s="10">
        <f t="shared" si="188"/>
        <v>46461</v>
      </c>
      <c r="J146" s="10">
        <f t="shared" si="188"/>
        <v>46329</v>
      </c>
      <c r="K146" s="10">
        <f t="shared" si="188"/>
        <v>45930</v>
      </c>
      <c r="L146" s="10">
        <f t="shared" ref="L146:AC146" si="189">L147+L152+L157</f>
        <v>48190</v>
      </c>
      <c r="M146" s="10">
        <f t="shared" si="189"/>
        <v>48488</v>
      </c>
      <c r="N146" s="10">
        <f t="shared" si="189"/>
        <v>49112</v>
      </c>
      <c r="O146" s="10">
        <f t="shared" si="189"/>
        <v>50996</v>
      </c>
      <c r="P146" s="9">
        <f t="shared" si="189"/>
        <v>48656</v>
      </c>
      <c r="Q146" s="9">
        <f t="shared" si="189"/>
        <v>40539</v>
      </c>
      <c r="R146" s="36">
        <f t="shared" si="189"/>
        <v>0</v>
      </c>
      <c r="S146" s="36">
        <f t="shared" ref="S146:AB146" si="190">S147+S152+S157</f>
        <v>0</v>
      </c>
      <c r="T146" s="36">
        <f t="shared" si="190"/>
        <v>0</v>
      </c>
      <c r="U146" s="36">
        <f t="shared" si="190"/>
        <v>0</v>
      </c>
      <c r="V146" s="36">
        <f t="shared" si="190"/>
        <v>0</v>
      </c>
      <c r="W146" s="36">
        <f t="shared" si="190"/>
        <v>0</v>
      </c>
      <c r="X146" s="36">
        <f t="shared" si="190"/>
        <v>0</v>
      </c>
      <c r="Y146" s="36">
        <f t="shared" si="190"/>
        <v>0</v>
      </c>
      <c r="Z146" s="36">
        <f t="shared" si="190"/>
        <v>0</v>
      </c>
      <c r="AA146" s="36">
        <f t="shared" si="190"/>
        <v>0</v>
      </c>
      <c r="AB146" s="36">
        <f t="shared" si="190"/>
        <v>0</v>
      </c>
      <c r="AC146" s="36">
        <f t="shared" si="189"/>
        <v>0</v>
      </c>
    </row>
    <row r="147" spans="1:29" s="5" customFormat="1" ht="12.75" hidden="1" customHeight="1">
      <c r="A147" s="10" t="s">
        <v>19</v>
      </c>
      <c r="B147" s="10"/>
      <c r="C147" s="10"/>
      <c r="D147" s="10"/>
      <c r="E147" s="10"/>
      <c r="F147" s="10">
        <f t="shared" ref="F147:K147" si="191">F148+F149+F150</f>
        <v>4628</v>
      </c>
      <c r="G147" s="10">
        <f t="shared" si="191"/>
        <v>4638</v>
      </c>
      <c r="H147" s="10">
        <f t="shared" si="191"/>
        <v>4682</v>
      </c>
      <c r="I147" s="10">
        <f t="shared" si="191"/>
        <v>4690</v>
      </c>
      <c r="J147" s="10">
        <f t="shared" si="191"/>
        <v>4776</v>
      </c>
      <c r="K147" s="10">
        <f t="shared" si="191"/>
        <v>4501</v>
      </c>
      <c r="L147" s="10">
        <f t="shared" ref="L147:AC147" si="192">L148+L149+L150</f>
        <v>4406</v>
      </c>
      <c r="M147" s="10">
        <f t="shared" si="192"/>
        <v>4976</v>
      </c>
      <c r="N147" s="10">
        <f t="shared" si="192"/>
        <v>4742</v>
      </c>
      <c r="O147" s="10">
        <f t="shared" si="192"/>
        <v>5217</v>
      </c>
      <c r="P147" s="9">
        <f t="shared" si="192"/>
        <v>5079</v>
      </c>
      <c r="Q147" s="9">
        <f t="shared" si="192"/>
        <v>4566</v>
      </c>
      <c r="R147" s="36">
        <f t="shared" si="192"/>
        <v>0</v>
      </c>
      <c r="S147" s="36">
        <f t="shared" ref="S147:AB147" si="193">S148+S149+S150</f>
        <v>0</v>
      </c>
      <c r="T147" s="36">
        <f t="shared" si="193"/>
        <v>0</v>
      </c>
      <c r="U147" s="36">
        <f t="shared" si="193"/>
        <v>0</v>
      </c>
      <c r="V147" s="36">
        <f t="shared" si="193"/>
        <v>0</v>
      </c>
      <c r="W147" s="36">
        <f t="shared" si="193"/>
        <v>0</v>
      </c>
      <c r="X147" s="36">
        <f t="shared" si="193"/>
        <v>0</v>
      </c>
      <c r="Y147" s="36">
        <f t="shared" si="193"/>
        <v>0</v>
      </c>
      <c r="Z147" s="36">
        <f t="shared" si="193"/>
        <v>0</v>
      </c>
      <c r="AA147" s="36">
        <f t="shared" si="193"/>
        <v>0</v>
      </c>
      <c r="AB147" s="36">
        <f t="shared" si="193"/>
        <v>0</v>
      </c>
      <c r="AC147" s="36">
        <f t="shared" si="192"/>
        <v>0</v>
      </c>
    </row>
    <row r="148" spans="1:29" ht="12.75" hidden="1" customHeight="1">
      <c r="A148" s="8" t="s">
        <v>2</v>
      </c>
      <c r="B148" s="8"/>
      <c r="C148" s="8"/>
      <c r="D148" s="8"/>
      <c r="E148" s="8"/>
      <c r="F148" s="12">
        <v>1041</v>
      </c>
      <c r="G148" s="12">
        <f>633+5</f>
        <v>638</v>
      </c>
      <c r="H148" s="12">
        <f>756+17</f>
        <v>773</v>
      </c>
      <c r="I148" s="12">
        <f>886+6</f>
        <v>892</v>
      </c>
      <c r="J148" s="12">
        <v>866</v>
      </c>
      <c r="K148" s="12">
        <v>563</v>
      </c>
      <c r="L148" s="12">
        <v>737</v>
      </c>
      <c r="M148" s="12">
        <v>645</v>
      </c>
      <c r="N148" s="12">
        <v>871</v>
      </c>
      <c r="O148" s="12">
        <v>937</v>
      </c>
      <c r="P148" s="21">
        <v>1268</v>
      </c>
      <c r="Q148" s="21">
        <v>951</v>
      </c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</row>
    <row r="149" spans="1:29" ht="12.75" hidden="1" customHeight="1">
      <c r="A149" s="8" t="s">
        <v>3</v>
      </c>
      <c r="B149" s="8"/>
      <c r="C149" s="8"/>
      <c r="D149" s="8"/>
      <c r="E149" s="8"/>
      <c r="F149" s="12">
        <v>1603</v>
      </c>
      <c r="G149" s="12">
        <f>1263+483</f>
        <v>1746</v>
      </c>
      <c r="H149" s="12">
        <f>1197+540</f>
        <v>1737</v>
      </c>
      <c r="I149" s="12">
        <f>947+581</f>
        <v>1528</v>
      </c>
      <c r="J149" s="12">
        <f>1205+430</f>
        <v>1635</v>
      </c>
      <c r="K149" s="12">
        <v>1811</v>
      </c>
      <c r="L149" s="12">
        <v>1786</v>
      </c>
      <c r="M149" s="12">
        <v>2089</v>
      </c>
      <c r="N149" s="12">
        <v>2319</v>
      </c>
      <c r="O149" s="12">
        <v>2266</v>
      </c>
      <c r="P149" s="21">
        <v>1942</v>
      </c>
      <c r="Q149" s="21">
        <v>1931</v>
      </c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</row>
    <row r="150" spans="1:29" ht="12.75" hidden="1" customHeight="1">
      <c r="A150" s="8" t="s">
        <v>24</v>
      </c>
      <c r="B150" s="8"/>
      <c r="C150" s="8"/>
      <c r="D150" s="8"/>
      <c r="E150" s="8"/>
      <c r="F150" s="12">
        <v>1984</v>
      </c>
      <c r="G150" s="12">
        <v>2254</v>
      </c>
      <c r="H150" s="12">
        <v>2172</v>
      </c>
      <c r="I150" s="12">
        <v>2270</v>
      </c>
      <c r="J150" s="12">
        <v>2275</v>
      </c>
      <c r="K150" s="12">
        <v>2127</v>
      </c>
      <c r="L150" s="12">
        <v>1883</v>
      </c>
      <c r="M150" s="12">
        <v>2242</v>
      </c>
      <c r="N150" s="12">
        <v>1552</v>
      </c>
      <c r="O150" s="12">
        <v>2014</v>
      </c>
      <c r="P150" s="21">
        <v>1869</v>
      </c>
      <c r="Q150" s="21">
        <v>1684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7">
        <v>0</v>
      </c>
    </row>
    <row r="151" spans="1:29" ht="12.75" hidden="1" customHeight="1">
      <c r="A151" s="13"/>
      <c r="B151" s="13"/>
      <c r="C151" s="13"/>
      <c r="D151" s="8"/>
      <c r="E151" s="8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21"/>
      <c r="Q151" s="21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</row>
    <row r="152" spans="1:29" s="5" customFormat="1" ht="12.75" hidden="1" customHeight="1">
      <c r="A152" s="10" t="s">
        <v>20</v>
      </c>
      <c r="B152" s="10"/>
      <c r="C152" s="10"/>
      <c r="D152" s="10"/>
      <c r="E152" s="10"/>
      <c r="F152" s="10">
        <f t="shared" ref="F152:K152" si="194">F153+F154+F155</f>
        <v>20694</v>
      </c>
      <c r="G152" s="10">
        <f t="shared" si="194"/>
        <v>20032</v>
      </c>
      <c r="H152" s="10">
        <f t="shared" si="194"/>
        <v>20374</v>
      </c>
      <c r="I152" s="10">
        <f t="shared" si="194"/>
        <v>20774</v>
      </c>
      <c r="J152" s="10">
        <f t="shared" si="194"/>
        <v>20340</v>
      </c>
      <c r="K152" s="10">
        <f t="shared" si="194"/>
        <v>20214</v>
      </c>
      <c r="L152" s="10">
        <f t="shared" ref="L152:AC152" si="195">L153+L154+L155</f>
        <v>21302</v>
      </c>
      <c r="M152" s="10">
        <f t="shared" si="195"/>
        <v>21582</v>
      </c>
      <c r="N152" s="10">
        <f t="shared" si="195"/>
        <v>21667</v>
      </c>
      <c r="O152" s="10">
        <f t="shared" si="195"/>
        <v>23048</v>
      </c>
      <c r="P152" s="9">
        <f t="shared" si="195"/>
        <v>21307</v>
      </c>
      <c r="Q152" s="9">
        <f t="shared" si="195"/>
        <v>17584</v>
      </c>
      <c r="R152" s="36">
        <f t="shared" si="195"/>
        <v>0</v>
      </c>
      <c r="S152" s="36">
        <f t="shared" ref="S152:AB152" si="196">S153+S154+S155</f>
        <v>0</v>
      </c>
      <c r="T152" s="36">
        <f t="shared" si="196"/>
        <v>0</v>
      </c>
      <c r="U152" s="36">
        <f t="shared" si="196"/>
        <v>0</v>
      </c>
      <c r="V152" s="36">
        <f t="shared" si="196"/>
        <v>0</v>
      </c>
      <c r="W152" s="36">
        <f t="shared" si="196"/>
        <v>0</v>
      </c>
      <c r="X152" s="36">
        <f t="shared" si="196"/>
        <v>0</v>
      </c>
      <c r="Y152" s="36">
        <f t="shared" si="196"/>
        <v>0</v>
      </c>
      <c r="Z152" s="36">
        <f t="shared" si="196"/>
        <v>0</v>
      </c>
      <c r="AA152" s="36">
        <f t="shared" si="196"/>
        <v>0</v>
      </c>
      <c r="AB152" s="36">
        <f t="shared" si="196"/>
        <v>0</v>
      </c>
      <c r="AC152" s="36">
        <f t="shared" si="195"/>
        <v>0</v>
      </c>
    </row>
    <row r="153" spans="1:29" ht="12.75" hidden="1" customHeight="1">
      <c r="A153" s="8" t="s">
        <v>2</v>
      </c>
      <c r="B153" s="8"/>
      <c r="C153" s="8"/>
      <c r="D153" s="8"/>
      <c r="E153" s="8"/>
      <c r="F153" s="12">
        <v>8572</v>
      </c>
      <c r="G153" s="12">
        <f>7605+231</f>
        <v>7836</v>
      </c>
      <c r="H153" s="12">
        <f>7860+214</f>
        <v>8074</v>
      </c>
      <c r="I153" s="12">
        <f>8505+199</f>
        <v>8704</v>
      </c>
      <c r="J153" s="12">
        <f>7931+248</f>
        <v>8179</v>
      </c>
      <c r="K153" s="12">
        <v>8222</v>
      </c>
      <c r="L153" s="12">
        <v>8635</v>
      </c>
      <c r="M153" s="12">
        <v>8136</v>
      </c>
      <c r="N153" s="12">
        <v>8657</v>
      </c>
      <c r="O153" s="12">
        <v>9134</v>
      </c>
      <c r="P153" s="21">
        <v>7816</v>
      </c>
      <c r="Q153" s="21">
        <v>6225</v>
      </c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</row>
    <row r="154" spans="1:29" ht="12.75" hidden="1" customHeight="1">
      <c r="A154" s="8" t="s">
        <v>3</v>
      </c>
      <c r="B154" s="8"/>
      <c r="C154" s="8"/>
      <c r="D154" s="8"/>
      <c r="E154" s="8"/>
      <c r="F154" s="12">
        <v>9774</v>
      </c>
      <c r="G154" s="12">
        <f>7354+2350</f>
        <v>9704</v>
      </c>
      <c r="H154" s="12">
        <f>6901+2897</f>
        <v>9798</v>
      </c>
      <c r="I154" s="12">
        <f>7080+2414</f>
        <v>9494</v>
      </c>
      <c r="J154" s="12">
        <f>7776+1977</f>
        <v>9753</v>
      </c>
      <c r="K154" s="12">
        <v>9590</v>
      </c>
      <c r="L154" s="12">
        <v>9606</v>
      </c>
      <c r="M154" s="12">
        <v>10460</v>
      </c>
      <c r="N154" s="12">
        <v>10218</v>
      </c>
      <c r="O154" s="12">
        <v>11025</v>
      </c>
      <c r="P154" s="21">
        <v>10382</v>
      </c>
      <c r="Q154" s="21">
        <v>8902</v>
      </c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</row>
    <row r="155" spans="1:29" ht="12.75" hidden="1" customHeight="1">
      <c r="A155" s="8" t="s">
        <v>24</v>
      </c>
      <c r="B155" s="8"/>
      <c r="C155" s="8"/>
      <c r="D155" s="8"/>
      <c r="E155" s="8"/>
      <c r="F155" s="12">
        <v>2348</v>
      </c>
      <c r="G155" s="12">
        <v>2492</v>
      </c>
      <c r="H155" s="12">
        <v>2502</v>
      </c>
      <c r="I155" s="12">
        <v>2576</v>
      </c>
      <c r="J155" s="12">
        <v>2408</v>
      </c>
      <c r="K155" s="12">
        <v>2402</v>
      </c>
      <c r="L155" s="12">
        <v>3061</v>
      </c>
      <c r="M155" s="12">
        <v>2986</v>
      </c>
      <c r="N155" s="12">
        <v>2792</v>
      </c>
      <c r="O155" s="12">
        <v>2889</v>
      </c>
      <c r="P155" s="21">
        <v>3109</v>
      </c>
      <c r="Q155" s="21">
        <v>2457</v>
      </c>
      <c r="R155" s="37">
        <v>0</v>
      </c>
      <c r="S155" s="37">
        <v>0</v>
      </c>
      <c r="T155" s="37">
        <v>0</v>
      </c>
      <c r="U155" s="37">
        <v>0</v>
      </c>
      <c r="V155" s="37">
        <v>0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7">
        <v>0</v>
      </c>
    </row>
    <row r="156" spans="1:29" ht="12.75" hidden="1" customHeight="1">
      <c r="A156" s="13"/>
      <c r="B156" s="13"/>
      <c r="C156" s="13"/>
      <c r="D156" s="8"/>
      <c r="E156" s="8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21"/>
      <c r="Q156" s="21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</row>
    <row r="157" spans="1:29" s="5" customFormat="1" ht="12.75" hidden="1" customHeight="1">
      <c r="A157" s="10" t="s">
        <v>21</v>
      </c>
      <c r="B157" s="10"/>
      <c r="C157" s="10"/>
      <c r="D157" s="10"/>
      <c r="E157" s="10"/>
      <c r="F157" s="10">
        <f t="shared" ref="F157:K157" si="197">F158+F159+F160</f>
        <v>20871</v>
      </c>
      <c r="G157" s="10">
        <f t="shared" si="197"/>
        <v>20641</v>
      </c>
      <c r="H157" s="10">
        <f t="shared" si="197"/>
        <v>21192</v>
      </c>
      <c r="I157" s="10">
        <f t="shared" si="197"/>
        <v>20997</v>
      </c>
      <c r="J157" s="10">
        <f t="shared" si="197"/>
        <v>21213</v>
      </c>
      <c r="K157" s="10">
        <f t="shared" si="197"/>
        <v>21215</v>
      </c>
      <c r="L157" s="10">
        <f t="shared" ref="L157:AC157" si="198">L158+L159+L160</f>
        <v>22482</v>
      </c>
      <c r="M157" s="10">
        <f t="shared" si="198"/>
        <v>21930</v>
      </c>
      <c r="N157" s="10">
        <f t="shared" si="198"/>
        <v>22703</v>
      </c>
      <c r="O157" s="10">
        <f t="shared" si="198"/>
        <v>22731</v>
      </c>
      <c r="P157" s="9">
        <f t="shared" si="198"/>
        <v>22270</v>
      </c>
      <c r="Q157" s="9">
        <f t="shared" si="198"/>
        <v>18389</v>
      </c>
      <c r="R157" s="36">
        <f t="shared" si="198"/>
        <v>0</v>
      </c>
      <c r="S157" s="36">
        <f t="shared" ref="S157:AB157" si="199">S158+S159+S160</f>
        <v>0</v>
      </c>
      <c r="T157" s="36">
        <f t="shared" si="199"/>
        <v>0</v>
      </c>
      <c r="U157" s="36">
        <f t="shared" si="199"/>
        <v>0</v>
      </c>
      <c r="V157" s="36">
        <f t="shared" si="199"/>
        <v>0</v>
      </c>
      <c r="W157" s="36">
        <f t="shared" si="199"/>
        <v>0</v>
      </c>
      <c r="X157" s="36">
        <f t="shared" si="199"/>
        <v>0</v>
      </c>
      <c r="Y157" s="36">
        <f t="shared" si="199"/>
        <v>0</v>
      </c>
      <c r="Z157" s="36">
        <f t="shared" si="199"/>
        <v>0</v>
      </c>
      <c r="AA157" s="36">
        <f t="shared" si="199"/>
        <v>0</v>
      </c>
      <c r="AB157" s="36">
        <f t="shared" si="199"/>
        <v>0</v>
      </c>
      <c r="AC157" s="36">
        <f t="shared" si="198"/>
        <v>0</v>
      </c>
    </row>
    <row r="158" spans="1:29" ht="12.75" hidden="1" customHeight="1">
      <c r="A158" s="8" t="s">
        <v>2</v>
      </c>
      <c r="B158" s="8"/>
      <c r="C158" s="8"/>
      <c r="D158" s="8"/>
      <c r="E158" s="8"/>
      <c r="F158" s="12">
        <v>7977</v>
      </c>
      <c r="G158" s="12">
        <f>7475+216</f>
        <v>7691</v>
      </c>
      <c r="H158" s="12">
        <f>8059+133</f>
        <v>8192</v>
      </c>
      <c r="I158" s="12">
        <f>7561+167</f>
        <v>7728</v>
      </c>
      <c r="J158" s="12">
        <v>7643</v>
      </c>
      <c r="K158" s="12">
        <v>8055</v>
      </c>
      <c r="L158" s="12">
        <v>8264</v>
      </c>
      <c r="M158" s="12">
        <v>7444</v>
      </c>
      <c r="N158" s="12">
        <v>8060</v>
      </c>
      <c r="O158" s="12">
        <v>8739</v>
      </c>
      <c r="P158" s="21">
        <v>7973</v>
      </c>
      <c r="Q158" s="21">
        <v>5634</v>
      </c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</row>
    <row r="159" spans="1:29" ht="12.75" hidden="1" customHeight="1">
      <c r="A159" s="8" t="s">
        <v>3</v>
      </c>
      <c r="B159" s="8"/>
      <c r="C159" s="8"/>
      <c r="D159" s="8"/>
      <c r="E159" s="8"/>
      <c r="F159" s="12">
        <v>10561</v>
      </c>
      <c r="G159" s="12">
        <f>7331+3036</f>
        <v>10367</v>
      </c>
      <c r="H159" s="12">
        <f>7380+2958</f>
        <v>10338</v>
      </c>
      <c r="I159" s="12">
        <f>7530+3036</f>
        <v>10566</v>
      </c>
      <c r="J159" s="12">
        <v>10938</v>
      </c>
      <c r="K159" s="12">
        <v>10910</v>
      </c>
      <c r="L159" s="12">
        <v>11202</v>
      </c>
      <c r="M159" s="12">
        <v>11514</v>
      </c>
      <c r="N159" s="12">
        <v>11642</v>
      </c>
      <c r="O159" s="12">
        <v>11118</v>
      </c>
      <c r="P159" s="21">
        <v>11343</v>
      </c>
      <c r="Q159" s="21">
        <v>10148</v>
      </c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</row>
    <row r="160" spans="1:29" ht="12.75" hidden="1" customHeight="1">
      <c r="A160" s="8" t="s">
        <v>24</v>
      </c>
      <c r="B160" s="8"/>
      <c r="C160" s="8"/>
      <c r="D160" s="8"/>
      <c r="E160" s="8"/>
      <c r="F160" s="12">
        <v>2333</v>
      </c>
      <c r="G160" s="12">
        <v>2583</v>
      </c>
      <c r="H160" s="12">
        <v>2662</v>
      </c>
      <c r="I160" s="12">
        <v>2703</v>
      </c>
      <c r="J160" s="12">
        <v>2632</v>
      </c>
      <c r="K160" s="12">
        <v>2250</v>
      </c>
      <c r="L160" s="12">
        <v>3016</v>
      </c>
      <c r="M160" s="12">
        <v>2972</v>
      </c>
      <c r="N160" s="12">
        <v>3001</v>
      </c>
      <c r="O160" s="12">
        <v>2874</v>
      </c>
      <c r="P160" s="21">
        <v>2954</v>
      </c>
      <c r="Q160" s="21">
        <v>2607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0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  <c r="AC160" s="37">
        <v>0</v>
      </c>
    </row>
    <row r="161" spans="1:29" ht="12.75" hidden="1" customHeight="1">
      <c r="A161" s="13"/>
      <c r="B161" s="13"/>
      <c r="C161" s="13"/>
      <c r="D161" s="8"/>
      <c r="E161" s="8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21"/>
      <c r="Q161" s="21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</row>
    <row r="162" spans="1:29" s="5" customFormat="1" ht="12.75" hidden="1" customHeight="1">
      <c r="A162" s="9" t="s">
        <v>22</v>
      </c>
      <c r="B162" s="9"/>
      <c r="C162" s="9"/>
      <c r="D162" s="10"/>
      <c r="E162" s="10"/>
      <c r="F162" s="10">
        <f t="shared" ref="F162:K165" si="200">F147+F152+F157</f>
        <v>46193</v>
      </c>
      <c r="G162" s="10">
        <f t="shared" si="200"/>
        <v>45311</v>
      </c>
      <c r="H162" s="10">
        <f t="shared" si="200"/>
        <v>46248</v>
      </c>
      <c r="I162" s="10">
        <f t="shared" si="200"/>
        <v>46461</v>
      </c>
      <c r="J162" s="10">
        <f t="shared" si="200"/>
        <v>46329</v>
      </c>
      <c r="K162" s="10">
        <f t="shared" si="200"/>
        <v>45930</v>
      </c>
      <c r="L162" s="10">
        <f t="shared" ref="L162:M165" si="201">L147+L152+L157</f>
        <v>48190</v>
      </c>
      <c r="M162" s="10">
        <f t="shared" si="201"/>
        <v>48488</v>
      </c>
      <c r="N162" s="10">
        <f t="shared" ref="N162:O165" si="202">N147+N152+N157</f>
        <v>49112</v>
      </c>
      <c r="O162" s="10">
        <f t="shared" si="202"/>
        <v>50996</v>
      </c>
      <c r="P162" s="9">
        <f t="shared" ref="P162:R165" si="203">P147+P152+P157</f>
        <v>48656</v>
      </c>
      <c r="Q162" s="9">
        <f t="shared" si="203"/>
        <v>40539</v>
      </c>
      <c r="R162" s="36">
        <f t="shared" si="203"/>
        <v>0</v>
      </c>
      <c r="S162" s="36">
        <f t="shared" ref="S162:V165" si="204">S147+S152+S157</f>
        <v>0</v>
      </c>
      <c r="T162" s="36">
        <f t="shared" si="204"/>
        <v>0</v>
      </c>
      <c r="U162" s="36">
        <f t="shared" si="204"/>
        <v>0</v>
      </c>
      <c r="V162" s="36">
        <f t="shared" si="204"/>
        <v>0</v>
      </c>
      <c r="W162" s="36">
        <f>W147+W152+W157</f>
        <v>0</v>
      </c>
      <c r="X162" s="36">
        <f t="shared" ref="X162:Z165" si="205">X147+X152+X157</f>
        <v>0</v>
      </c>
      <c r="Y162" s="36">
        <f t="shared" si="205"/>
        <v>0</v>
      </c>
      <c r="Z162" s="36">
        <f t="shared" si="205"/>
        <v>0</v>
      </c>
      <c r="AA162" s="36">
        <f t="shared" ref="AA162:AC165" si="206">AA147+AA152+AA157</f>
        <v>0</v>
      </c>
      <c r="AB162" s="36">
        <f t="shared" ref="AB162" si="207">AB147+AB152+AB157</f>
        <v>0</v>
      </c>
      <c r="AC162" s="36">
        <f t="shared" si="206"/>
        <v>0</v>
      </c>
    </row>
    <row r="163" spans="1:29" s="6" customFormat="1" ht="12.75" hidden="1" customHeight="1">
      <c r="A163" s="11" t="s">
        <v>2</v>
      </c>
      <c r="B163" s="11"/>
      <c r="C163" s="11"/>
      <c r="D163" s="11"/>
      <c r="E163" s="11"/>
      <c r="F163" s="10">
        <f t="shared" si="200"/>
        <v>17590</v>
      </c>
      <c r="G163" s="10">
        <f t="shared" si="200"/>
        <v>16165</v>
      </c>
      <c r="H163" s="10">
        <f t="shared" si="200"/>
        <v>17039</v>
      </c>
      <c r="I163" s="10">
        <f t="shared" si="200"/>
        <v>17324</v>
      </c>
      <c r="J163" s="10">
        <f t="shared" si="200"/>
        <v>16688</v>
      </c>
      <c r="K163" s="10">
        <f t="shared" si="200"/>
        <v>16840</v>
      </c>
      <c r="L163" s="10">
        <f t="shared" si="201"/>
        <v>17636</v>
      </c>
      <c r="M163" s="10">
        <f t="shared" si="201"/>
        <v>16225</v>
      </c>
      <c r="N163" s="10">
        <f t="shared" si="202"/>
        <v>17588</v>
      </c>
      <c r="O163" s="10">
        <f t="shared" si="202"/>
        <v>18810</v>
      </c>
      <c r="P163" s="9">
        <f t="shared" si="203"/>
        <v>17057</v>
      </c>
      <c r="Q163" s="9">
        <f t="shared" si="203"/>
        <v>12810</v>
      </c>
      <c r="R163" s="36">
        <f t="shared" si="203"/>
        <v>0</v>
      </c>
      <c r="S163" s="36">
        <f t="shared" si="204"/>
        <v>0</v>
      </c>
      <c r="T163" s="36">
        <f t="shared" si="204"/>
        <v>0</v>
      </c>
      <c r="U163" s="36">
        <f t="shared" si="204"/>
        <v>0</v>
      </c>
      <c r="V163" s="36">
        <f t="shared" si="204"/>
        <v>0</v>
      </c>
      <c r="W163" s="36">
        <f>W148+W153+W158</f>
        <v>0</v>
      </c>
      <c r="X163" s="36">
        <f t="shared" si="205"/>
        <v>0</v>
      </c>
      <c r="Y163" s="36">
        <f t="shared" si="205"/>
        <v>0</v>
      </c>
      <c r="Z163" s="36">
        <f t="shared" si="205"/>
        <v>0</v>
      </c>
      <c r="AA163" s="36">
        <f t="shared" si="206"/>
        <v>0</v>
      </c>
      <c r="AB163" s="36">
        <f t="shared" ref="AB163" si="208">AB148+AB153+AB158</f>
        <v>0</v>
      </c>
      <c r="AC163" s="36">
        <f t="shared" si="206"/>
        <v>0</v>
      </c>
    </row>
    <row r="164" spans="1:29" s="6" customFormat="1" ht="12.75" hidden="1" customHeight="1">
      <c r="A164" s="11" t="s">
        <v>3</v>
      </c>
      <c r="B164" s="11"/>
      <c r="C164" s="11"/>
      <c r="D164" s="11"/>
      <c r="E164" s="11"/>
      <c r="F164" s="10">
        <f t="shared" si="200"/>
        <v>21938</v>
      </c>
      <c r="G164" s="10">
        <f t="shared" si="200"/>
        <v>21817</v>
      </c>
      <c r="H164" s="10">
        <f t="shared" si="200"/>
        <v>21873</v>
      </c>
      <c r="I164" s="10">
        <f t="shared" si="200"/>
        <v>21588</v>
      </c>
      <c r="J164" s="10">
        <f t="shared" si="200"/>
        <v>22326</v>
      </c>
      <c r="K164" s="10">
        <f t="shared" si="200"/>
        <v>22311</v>
      </c>
      <c r="L164" s="10">
        <f t="shared" si="201"/>
        <v>22594</v>
      </c>
      <c r="M164" s="10">
        <f t="shared" si="201"/>
        <v>24063</v>
      </c>
      <c r="N164" s="10">
        <f t="shared" si="202"/>
        <v>24179</v>
      </c>
      <c r="O164" s="10">
        <f t="shared" si="202"/>
        <v>24409</v>
      </c>
      <c r="P164" s="9">
        <f t="shared" si="203"/>
        <v>23667</v>
      </c>
      <c r="Q164" s="9">
        <f t="shared" si="203"/>
        <v>20981</v>
      </c>
      <c r="R164" s="36">
        <f t="shared" si="203"/>
        <v>0</v>
      </c>
      <c r="S164" s="36">
        <f t="shared" si="204"/>
        <v>0</v>
      </c>
      <c r="T164" s="36">
        <f t="shared" si="204"/>
        <v>0</v>
      </c>
      <c r="U164" s="36">
        <f t="shared" si="204"/>
        <v>0</v>
      </c>
      <c r="V164" s="36">
        <f t="shared" si="204"/>
        <v>0</v>
      </c>
      <c r="W164" s="36">
        <f>W149+W154+W159</f>
        <v>0</v>
      </c>
      <c r="X164" s="36">
        <f t="shared" si="205"/>
        <v>0</v>
      </c>
      <c r="Y164" s="36">
        <f t="shared" si="205"/>
        <v>0</v>
      </c>
      <c r="Z164" s="36">
        <f t="shared" si="205"/>
        <v>0</v>
      </c>
      <c r="AA164" s="36">
        <f t="shared" si="206"/>
        <v>0</v>
      </c>
      <c r="AB164" s="36">
        <f t="shared" ref="AB164" si="209">AB149+AB154+AB159</f>
        <v>0</v>
      </c>
      <c r="AC164" s="36">
        <f t="shared" si="206"/>
        <v>0</v>
      </c>
    </row>
    <row r="165" spans="1:29" s="6" customFormat="1" ht="12.75" hidden="1" customHeight="1">
      <c r="A165" s="11" t="s">
        <v>24</v>
      </c>
      <c r="B165" s="11"/>
      <c r="C165" s="11"/>
      <c r="D165" s="11"/>
      <c r="E165" s="11"/>
      <c r="F165" s="10">
        <f t="shared" si="200"/>
        <v>6665</v>
      </c>
      <c r="G165" s="10">
        <f t="shared" si="200"/>
        <v>7329</v>
      </c>
      <c r="H165" s="10">
        <f t="shared" si="200"/>
        <v>7336</v>
      </c>
      <c r="I165" s="10">
        <f t="shared" si="200"/>
        <v>7549</v>
      </c>
      <c r="J165" s="10">
        <f t="shared" si="200"/>
        <v>7315</v>
      </c>
      <c r="K165" s="10">
        <f t="shared" si="200"/>
        <v>6779</v>
      </c>
      <c r="L165" s="10">
        <f t="shared" si="201"/>
        <v>7960</v>
      </c>
      <c r="M165" s="10">
        <f t="shared" si="201"/>
        <v>8200</v>
      </c>
      <c r="N165" s="10">
        <f t="shared" si="202"/>
        <v>7345</v>
      </c>
      <c r="O165" s="10">
        <f t="shared" si="202"/>
        <v>7777</v>
      </c>
      <c r="P165" s="9">
        <f t="shared" si="203"/>
        <v>7932</v>
      </c>
      <c r="Q165" s="9">
        <f t="shared" si="203"/>
        <v>6748</v>
      </c>
      <c r="R165" s="36">
        <f t="shared" si="203"/>
        <v>0</v>
      </c>
      <c r="S165" s="36">
        <f t="shared" si="204"/>
        <v>0</v>
      </c>
      <c r="T165" s="36">
        <f t="shared" si="204"/>
        <v>0</v>
      </c>
      <c r="U165" s="36">
        <f t="shared" si="204"/>
        <v>0</v>
      </c>
      <c r="V165" s="35">
        <f t="shared" si="204"/>
        <v>0</v>
      </c>
      <c r="W165" s="35">
        <f>W150+W155+W160</f>
        <v>0</v>
      </c>
      <c r="X165" s="35">
        <f t="shared" si="205"/>
        <v>0</v>
      </c>
      <c r="Y165" s="35">
        <f t="shared" si="205"/>
        <v>0</v>
      </c>
      <c r="Z165" s="35">
        <f t="shared" si="205"/>
        <v>0</v>
      </c>
      <c r="AA165" s="35">
        <f t="shared" si="206"/>
        <v>0</v>
      </c>
      <c r="AB165" s="35">
        <f t="shared" ref="AB165" si="210">AB150+AB155+AB160</f>
        <v>0</v>
      </c>
      <c r="AC165" s="35">
        <f t="shared" si="206"/>
        <v>0</v>
      </c>
    </row>
    <row r="166" spans="1:29" ht="12.75" hidden="1" customHeight="1">
      <c r="A166" s="13"/>
      <c r="B166" s="13"/>
      <c r="C166" s="13"/>
      <c r="D166" s="8"/>
      <c r="E166" s="8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22"/>
      <c r="Q166" s="22"/>
      <c r="R166" s="22"/>
      <c r="S166" s="22"/>
      <c r="T166" s="22"/>
      <c r="U166" s="22"/>
      <c r="V166" s="14"/>
      <c r="W166" s="14"/>
      <c r="X166" s="14"/>
      <c r="Y166" s="14"/>
      <c r="Z166" s="14"/>
      <c r="AA166" s="14"/>
      <c r="AB166" s="14"/>
      <c r="AC166" s="14"/>
    </row>
    <row r="167" spans="1:29" s="5" customFormat="1" ht="12.75" customHeight="1" thickBot="1">
      <c r="A167" s="38" t="s">
        <v>14</v>
      </c>
      <c r="B167" s="38"/>
      <c r="C167" s="38"/>
      <c r="D167" s="39"/>
      <c r="E167" s="39"/>
      <c r="F167" s="39" t="s">
        <v>15</v>
      </c>
      <c r="G167" s="39" t="s">
        <v>16</v>
      </c>
      <c r="H167" s="39" t="s">
        <v>17</v>
      </c>
      <c r="I167" s="39" t="s">
        <v>18</v>
      </c>
      <c r="J167" s="39" t="s">
        <v>23</v>
      </c>
      <c r="K167" s="39" t="s">
        <v>25</v>
      </c>
      <c r="L167" s="39" t="s">
        <v>26</v>
      </c>
      <c r="M167" s="39" t="s">
        <v>40</v>
      </c>
      <c r="N167" s="39" t="s">
        <v>46</v>
      </c>
      <c r="O167" s="39" t="s">
        <v>47</v>
      </c>
      <c r="P167" s="39" t="s">
        <v>48</v>
      </c>
      <c r="Q167" s="39" t="s">
        <v>52</v>
      </c>
      <c r="R167" s="40" t="s">
        <v>55</v>
      </c>
      <c r="S167" s="40" t="s">
        <v>57</v>
      </c>
      <c r="T167" s="40" t="s">
        <v>60</v>
      </c>
      <c r="U167" s="40" t="s">
        <v>62</v>
      </c>
      <c r="V167" s="40" t="s">
        <v>65</v>
      </c>
      <c r="W167" s="40" t="s">
        <v>67</v>
      </c>
      <c r="X167" s="40" t="s">
        <v>69</v>
      </c>
      <c r="Y167" s="40" t="s">
        <v>71</v>
      </c>
      <c r="Z167" s="40" t="s">
        <v>74</v>
      </c>
      <c r="AA167" s="40" t="s">
        <v>79</v>
      </c>
      <c r="AB167" s="40" t="s">
        <v>87</v>
      </c>
      <c r="AC167" s="40" t="s">
        <v>116</v>
      </c>
    </row>
    <row r="168" spans="1:29" s="5" customFormat="1" ht="12.75" customHeight="1">
      <c r="A168" s="23" t="s">
        <v>8</v>
      </c>
      <c r="B168" s="10"/>
      <c r="C168" s="10"/>
      <c r="D168" s="10"/>
      <c r="E168" s="10"/>
      <c r="F168" s="10">
        <f t="shared" ref="F168:K168" si="211">F169+F175+F181</f>
        <v>73631</v>
      </c>
      <c r="G168" s="10">
        <f t="shared" si="211"/>
        <v>72096</v>
      </c>
      <c r="H168" s="10">
        <f t="shared" si="211"/>
        <v>69563</v>
      </c>
      <c r="I168" s="10">
        <f t="shared" si="211"/>
        <v>70927</v>
      </c>
      <c r="J168" s="10">
        <f t="shared" si="211"/>
        <v>70183</v>
      </c>
      <c r="K168" s="10">
        <f t="shared" si="211"/>
        <v>70224</v>
      </c>
      <c r="L168" s="10">
        <f t="shared" ref="L168:AC168" si="212">L169+L175+L181</f>
        <v>71798</v>
      </c>
      <c r="M168" s="10">
        <f t="shared" si="212"/>
        <v>72415</v>
      </c>
      <c r="N168" s="10">
        <f t="shared" si="212"/>
        <v>80083</v>
      </c>
      <c r="O168" s="10">
        <f t="shared" si="212"/>
        <v>83782</v>
      </c>
      <c r="P168" s="9">
        <f t="shared" si="212"/>
        <v>83488</v>
      </c>
      <c r="Q168" s="9">
        <f t="shared" si="212"/>
        <v>81602</v>
      </c>
      <c r="R168" s="9">
        <f t="shared" si="212"/>
        <v>77876</v>
      </c>
      <c r="S168" s="9">
        <f t="shared" ref="S168:AB168" si="213">S169+S175+S181</f>
        <v>75782</v>
      </c>
      <c r="T168" s="9">
        <f t="shared" si="213"/>
        <v>77216</v>
      </c>
      <c r="U168" s="9">
        <f t="shared" si="213"/>
        <v>80869</v>
      </c>
      <c r="V168" s="10">
        <f t="shared" si="213"/>
        <v>87533</v>
      </c>
      <c r="W168" s="10">
        <f t="shared" si="213"/>
        <v>92765</v>
      </c>
      <c r="X168" s="10">
        <f t="shared" si="213"/>
        <v>99470</v>
      </c>
      <c r="Y168" s="10">
        <f t="shared" si="213"/>
        <v>108868</v>
      </c>
      <c r="Z168" s="10">
        <f t="shared" si="213"/>
        <v>116401</v>
      </c>
      <c r="AA168" s="10">
        <f t="shared" si="213"/>
        <v>122868.5</v>
      </c>
      <c r="AB168" s="10">
        <f t="shared" si="213"/>
        <v>131434.29999999999</v>
      </c>
      <c r="AC168" s="10">
        <f t="shared" si="212"/>
        <v>137123.29</v>
      </c>
    </row>
    <row r="169" spans="1:29" s="5" customFormat="1" ht="12.75" customHeight="1">
      <c r="A169" s="10" t="s">
        <v>19</v>
      </c>
      <c r="B169" s="10"/>
      <c r="C169" s="10"/>
      <c r="D169" s="10"/>
      <c r="E169" s="10"/>
      <c r="F169" s="10">
        <f t="shared" ref="F169:K169" si="214">F170+F171+F173</f>
        <v>3730</v>
      </c>
      <c r="G169" s="10">
        <f t="shared" si="214"/>
        <v>3979</v>
      </c>
      <c r="H169" s="10">
        <f t="shared" si="214"/>
        <v>3463</v>
      </c>
      <c r="I169" s="10">
        <f t="shared" si="214"/>
        <v>3307</v>
      </c>
      <c r="J169" s="10">
        <f t="shared" si="214"/>
        <v>3570</v>
      </c>
      <c r="K169" s="10">
        <f t="shared" si="214"/>
        <v>3403</v>
      </c>
      <c r="L169" s="10">
        <f t="shared" ref="L169:R169" si="215">L170+L171+L173</f>
        <v>3459</v>
      </c>
      <c r="M169" s="10">
        <f t="shared" si="215"/>
        <v>3556</v>
      </c>
      <c r="N169" s="10">
        <f t="shared" si="215"/>
        <v>4314</v>
      </c>
      <c r="O169" s="10">
        <f t="shared" si="215"/>
        <v>4396</v>
      </c>
      <c r="P169" s="9">
        <f t="shared" si="215"/>
        <v>4487</v>
      </c>
      <c r="Q169" s="9">
        <f t="shared" si="215"/>
        <v>4057</v>
      </c>
      <c r="R169" s="9">
        <f t="shared" si="215"/>
        <v>4331</v>
      </c>
      <c r="S169" s="9">
        <f t="shared" ref="S169:Z169" si="216">S170+S171+S173</f>
        <v>4667</v>
      </c>
      <c r="T169" s="9">
        <f t="shared" si="216"/>
        <v>4371</v>
      </c>
      <c r="U169" s="9">
        <f t="shared" si="216"/>
        <v>4612</v>
      </c>
      <c r="V169" s="9">
        <f t="shared" si="216"/>
        <v>4888</v>
      </c>
      <c r="W169" s="10">
        <f t="shared" si="216"/>
        <v>5231</v>
      </c>
      <c r="X169" s="10">
        <f t="shared" si="216"/>
        <v>3937</v>
      </c>
      <c r="Y169" s="10">
        <f t="shared" si="216"/>
        <v>5042</v>
      </c>
      <c r="Z169" s="10">
        <f t="shared" si="216"/>
        <v>5616</v>
      </c>
      <c r="AA169" s="10">
        <f>AA170+AA171+AA173+AA172</f>
        <v>5303.38</v>
      </c>
      <c r="AB169" s="10">
        <f>AB170+AB171+AB173+AB172</f>
        <v>5531.86</v>
      </c>
      <c r="AC169" s="10">
        <f>AC170+AC171+AC173+AC172</f>
        <v>5328.14</v>
      </c>
    </row>
    <row r="170" spans="1:29" ht="12.75" customHeight="1">
      <c r="A170" s="8" t="s">
        <v>2</v>
      </c>
      <c r="B170" s="8"/>
      <c r="C170" s="8"/>
      <c r="D170" s="8"/>
      <c r="E170" s="8"/>
      <c r="F170" s="12">
        <v>341</v>
      </c>
      <c r="G170" s="12">
        <f>363+21</f>
        <v>384</v>
      </c>
      <c r="H170" s="12">
        <f>372+39</f>
        <v>411</v>
      </c>
      <c r="I170" s="12">
        <f>478+38</f>
        <v>516</v>
      </c>
      <c r="J170" s="12">
        <f>650+44</f>
        <v>694</v>
      </c>
      <c r="K170" s="12">
        <v>526</v>
      </c>
      <c r="L170" s="12">
        <v>651</v>
      </c>
      <c r="M170" s="12">
        <v>624</v>
      </c>
      <c r="N170" s="12">
        <v>746</v>
      </c>
      <c r="O170" s="12">
        <v>855</v>
      </c>
      <c r="P170" s="21">
        <v>755</v>
      </c>
      <c r="Q170" s="21">
        <v>614</v>
      </c>
      <c r="R170" s="21">
        <v>572</v>
      </c>
      <c r="S170" s="21">
        <v>420</v>
      </c>
      <c r="T170" s="21">
        <v>330</v>
      </c>
      <c r="U170" s="21">
        <v>410</v>
      </c>
      <c r="V170" s="21">
        <v>495</v>
      </c>
      <c r="W170" s="19">
        <v>573</v>
      </c>
      <c r="X170" s="19">
        <v>881</v>
      </c>
      <c r="Y170" s="19">
        <v>849</v>
      </c>
      <c r="Z170" s="19">
        <v>1008</v>
      </c>
      <c r="AA170" s="19">
        <v>725</v>
      </c>
      <c r="AB170" s="19">
        <v>723</v>
      </c>
      <c r="AC170" s="19">
        <v>722</v>
      </c>
    </row>
    <row r="171" spans="1:29" ht="12.75" customHeight="1">
      <c r="A171" s="8" t="s">
        <v>3</v>
      </c>
      <c r="B171" s="8"/>
      <c r="C171" s="8"/>
      <c r="D171" s="8"/>
      <c r="E171" s="8"/>
      <c r="F171" s="12">
        <v>1816</v>
      </c>
      <c r="G171" s="12">
        <f>1656+271</f>
        <v>1927</v>
      </c>
      <c r="H171" s="12">
        <f>1435+208</f>
        <v>1643</v>
      </c>
      <c r="I171" s="12">
        <f>1192+262</f>
        <v>1454</v>
      </c>
      <c r="J171" s="12">
        <f>1127+325</f>
        <v>1452</v>
      </c>
      <c r="K171" s="12">
        <v>1349</v>
      </c>
      <c r="L171" s="12">
        <v>1300</v>
      </c>
      <c r="M171" s="12">
        <v>1274</v>
      </c>
      <c r="N171" s="12">
        <v>1965</v>
      </c>
      <c r="O171" s="12">
        <v>1872</v>
      </c>
      <c r="P171" s="21">
        <v>1846</v>
      </c>
      <c r="Q171" s="21">
        <v>1622</v>
      </c>
      <c r="R171" s="21">
        <v>1724</v>
      </c>
      <c r="S171" s="21">
        <v>2176</v>
      </c>
      <c r="T171" s="21">
        <v>1932</v>
      </c>
      <c r="U171" s="21">
        <v>1752</v>
      </c>
      <c r="V171" s="21">
        <v>2169</v>
      </c>
      <c r="W171" s="20">
        <v>2334</v>
      </c>
      <c r="X171" s="20">
        <v>2481</v>
      </c>
      <c r="Y171" s="20">
        <v>3068</v>
      </c>
      <c r="Z171" s="20">
        <v>3155</v>
      </c>
      <c r="AA171" s="20">
        <v>3075.52</v>
      </c>
      <c r="AB171" s="20">
        <v>3175.16</v>
      </c>
      <c r="AC171" s="20">
        <v>2986.92</v>
      </c>
    </row>
    <row r="172" spans="1:29" ht="12.75" customHeight="1">
      <c r="A172" s="8" t="s">
        <v>12</v>
      </c>
      <c r="B172" s="8"/>
      <c r="C172" s="8"/>
      <c r="D172" s="8"/>
      <c r="E172" s="8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21"/>
      <c r="Q172" s="21"/>
      <c r="R172" s="21"/>
      <c r="S172" s="21"/>
      <c r="T172" s="21"/>
      <c r="U172" s="21"/>
      <c r="V172" s="21"/>
      <c r="W172" s="20"/>
      <c r="X172" s="20"/>
      <c r="Y172" s="20"/>
      <c r="Z172" s="20"/>
      <c r="AA172" s="20">
        <v>0</v>
      </c>
      <c r="AB172" s="20">
        <v>0</v>
      </c>
      <c r="AC172" s="20">
        <v>0</v>
      </c>
    </row>
    <row r="173" spans="1:29" ht="12.75" customHeight="1">
      <c r="A173" s="8" t="s">
        <v>24</v>
      </c>
      <c r="B173" s="8"/>
      <c r="C173" s="8"/>
      <c r="D173" s="8"/>
      <c r="E173" s="8"/>
      <c r="F173" s="12">
        <v>1573</v>
      </c>
      <c r="G173" s="12">
        <v>1668</v>
      </c>
      <c r="H173" s="12">
        <v>1409</v>
      </c>
      <c r="I173" s="12">
        <v>1337</v>
      </c>
      <c r="J173" s="12">
        <v>1424</v>
      </c>
      <c r="K173" s="12">
        <v>1528</v>
      </c>
      <c r="L173" s="12">
        <v>1508</v>
      </c>
      <c r="M173" s="12">
        <v>1658</v>
      </c>
      <c r="N173" s="12">
        <v>1603</v>
      </c>
      <c r="O173" s="12">
        <v>1669</v>
      </c>
      <c r="P173" s="21">
        <v>1886</v>
      </c>
      <c r="Q173" s="21">
        <v>1821</v>
      </c>
      <c r="R173" s="21">
        <v>2035</v>
      </c>
      <c r="S173" s="21">
        <v>2071</v>
      </c>
      <c r="T173" s="21">
        <v>2109</v>
      </c>
      <c r="U173" s="21">
        <v>2450</v>
      </c>
      <c r="V173" s="21">
        <v>2224</v>
      </c>
      <c r="W173" s="20">
        <v>2324</v>
      </c>
      <c r="X173" s="20">
        <v>575</v>
      </c>
      <c r="Y173" s="20">
        <v>1125</v>
      </c>
      <c r="Z173" s="20">
        <v>1453</v>
      </c>
      <c r="AA173" s="20">
        <v>1502.86</v>
      </c>
      <c r="AB173" s="20">
        <v>1633.7</v>
      </c>
      <c r="AC173" s="20">
        <v>1619.22</v>
      </c>
    </row>
    <row r="174" spans="1:29" ht="12.75" customHeight="1">
      <c r="A174" s="13"/>
      <c r="B174" s="13"/>
      <c r="C174" s="13"/>
      <c r="D174" s="8"/>
      <c r="E174" s="8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</row>
    <row r="175" spans="1:29" s="5" customFormat="1" ht="12.75" customHeight="1">
      <c r="A175" s="10" t="s">
        <v>20</v>
      </c>
      <c r="B175" s="10"/>
      <c r="C175" s="10"/>
      <c r="D175" s="10"/>
      <c r="E175" s="10"/>
      <c r="F175" s="10">
        <f t="shared" ref="F175:K175" si="217">F176+F177+F179</f>
        <v>35654</v>
      </c>
      <c r="G175" s="10">
        <f t="shared" si="217"/>
        <v>35164</v>
      </c>
      <c r="H175" s="10">
        <f t="shared" si="217"/>
        <v>33642</v>
      </c>
      <c r="I175" s="10">
        <f t="shared" si="217"/>
        <v>34318</v>
      </c>
      <c r="J175" s="10">
        <f t="shared" si="217"/>
        <v>34288</v>
      </c>
      <c r="K175" s="10">
        <f t="shared" si="217"/>
        <v>33940</v>
      </c>
      <c r="L175" s="10">
        <f t="shared" ref="L175:R175" si="218">L176+L177+L179</f>
        <v>34612</v>
      </c>
      <c r="M175" s="10">
        <f t="shared" si="218"/>
        <v>35476</v>
      </c>
      <c r="N175" s="10">
        <f t="shared" si="218"/>
        <v>37890</v>
      </c>
      <c r="O175" s="10">
        <f t="shared" si="218"/>
        <v>40772</v>
      </c>
      <c r="P175" s="9">
        <f t="shared" si="218"/>
        <v>40940</v>
      </c>
      <c r="Q175" s="9">
        <f t="shared" si="218"/>
        <v>39804</v>
      </c>
      <c r="R175" s="9">
        <f t="shared" si="218"/>
        <v>38064</v>
      </c>
      <c r="S175" s="9">
        <f t="shared" ref="S175:Z175" si="219">S176+S177+S179</f>
        <v>36413</v>
      </c>
      <c r="T175" s="9">
        <f t="shared" si="219"/>
        <v>37513</v>
      </c>
      <c r="U175" s="9">
        <f t="shared" si="219"/>
        <v>39278</v>
      </c>
      <c r="V175" s="9">
        <f t="shared" si="219"/>
        <v>42531</v>
      </c>
      <c r="W175" s="10">
        <f t="shared" si="219"/>
        <v>45630</v>
      </c>
      <c r="X175" s="10">
        <f t="shared" si="219"/>
        <v>49347</v>
      </c>
      <c r="Y175" s="10">
        <f t="shared" si="219"/>
        <v>53085</v>
      </c>
      <c r="Z175" s="10">
        <f t="shared" si="219"/>
        <v>57611</v>
      </c>
      <c r="AA175" s="10">
        <f>AA176+AA177+AA179+AA178</f>
        <v>61135.909999999996</v>
      </c>
      <c r="AB175" s="10">
        <f>AB176+AB177+AB179+AB178</f>
        <v>65910.960000000006</v>
      </c>
      <c r="AC175" s="10">
        <f>AC176+AC177+AC179+AC178</f>
        <v>68763.06</v>
      </c>
    </row>
    <row r="176" spans="1:29" ht="12.75" customHeight="1">
      <c r="A176" s="8" t="s">
        <v>2</v>
      </c>
      <c r="B176" s="8"/>
      <c r="C176" s="8"/>
      <c r="D176" s="8"/>
      <c r="E176" s="8"/>
      <c r="F176" s="12">
        <v>11573</v>
      </c>
      <c r="G176" s="12">
        <f>10718+14</f>
        <v>10732</v>
      </c>
      <c r="H176" s="12">
        <f>10192+24</f>
        <v>10216</v>
      </c>
      <c r="I176" s="12">
        <f>10926+22</f>
        <v>10948</v>
      </c>
      <c r="J176" s="12">
        <f>10732+32</f>
        <v>10764</v>
      </c>
      <c r="K176" s="12">
        <v>10945</v>
      </c>
      <c r="L176" s="12">
        <v>11100</v>
      </c>
      <c r="M176" s="12">
        <v>12219</v>
      </c>
      <c r="N176" s="12">
        <v>12285</v>
      </c>
      <c r="O176" s="12">
        <v>13969</v>
      </c>
      <c r="P176" s="21">
        <v>12851</v>
      </c>
      <c r="Q176" s="21">
        <v>12776</v>
      </c>
      <c r="R176" s="21">
        <v>12403</v>
      </c>
      <c r="S176" s="21">
        <v>11403</v>
      </c>
      <c r="T176" s="21">
        <v>12679</v>
      </c>
      <c r="U176" s="21">
        <v>13785</v>
      </c>
      <c r="V176" s="21">
        <v>14454</v>
      </c>
      <c r="W176" s="19">
        <v>16483</v>
      </c>
      <c r="X176" s="19">
        <v>18577</v>
      </c>
      <c r="Y176" s="19">
        <v>19589</v>
      </c>
      <c r="Z176" s="19">
        <v>21655</v>
      </c>
      <c r="AA176" s="19">
        <v>22568.92</v>
      </c>
      <c r="AB176" s="19">
        <v>24213.47</v>
      </c>
      <c r="AC176" s="19">
        <v>25534.18</v>
      </c>
    </row>
    <row r="177" spans="1:29" ht="12.75" customHeight="1">
      <c r="A177" s="8" t="s">
        <v>3</v>
      </c>
      <c r="B177" s="8"/>
      <c r="C177" s="8"/>
      <c r="D177" s="8"/>
      <c r="E177" s="8"/>
      <c r="F177" s="12">
        <v>17901</v>
      </c>
      <c r="G177" s="12">
        <f>18185+339</f>
        <v>18524</v>
      </c>
      <c r="H177" s="12">
        <f>17570+292</f>
        <v>17862</v>
      </c>
      <c r="I177" s="12">
        <f>17489+340</f>
        <v>17829</v>
      </c>
      <c r="J177" s="12">
        <f>17467+459</f>
        <v>17926</v>
      </c>
      <c r="K177" s="12">
        <v>17598</v>
      </c>
      <c r="L177" s="12">
        <v>17850</v>
      </c>
      <c r="M177" s="12">
        <v>17462</v>
      </c>
      <c r="N177" s="12">
        <v>19733</v>
      </c>
      <c r="O177" s="12">
        <v>20690</v>
      </c>
      <c r="P177" s="21">
        <v>21172</v>
      </c>
      <c r="Q177" s="21">
        <v>20206</v>
      </c>
      <c r="R177" s="21">
        <v>19622</v>
      </c>
      <c r="S177" s="21">
        <v>19237</v>
      </c>
      <c r="T177" s="21">
        <v>18428</v>
      </c>
      <c r="U177" s="21">
        <v>18984</v>
      </c>
      <c r="V177" s="21">
        <v>20771</v>
      </c>
      <c r="W177" s="20">
        <v>21472</v>
      </c>
      <c r="X177" s="20">
        <v>23211</v>
      </c>
      <c r="Y177" s="20">
        <v>25302</v>
      </c>
      <c r="Z177" s="20">
        <v>27196</v>
      </c>
      <c r="AA177" s="20">
        <v>28898.84</v>
      </c>
      <c r="AB177" s="20">
        <v>31305.32</v>
      </c>
      <c r="AC177" s="20">
        <v>32996.43</v>
      </c>
    </row>
    <row r="178" spans="1:29" ht="12.75" customHeight="1">
      <c r="A178" s="8" t="s">
        <v>12</v>
      </c>
      <c r="B178" s="8"/>
      <c r="C178" s="8"/>
      <c r="D178" s="8"/>
      <c r="E178" s="8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21"/>
      <c r="Q178" s="21"/>
      <c r="R178" s="21"/>
      <c r="S178" s="21"/>
      <c r="T178" s="21"/>
      <c r="U178" s="21"/>
      <c r="V178" s="21"/>
      <c r="W178" s="20"/>
      <c r="X178" s="20"/>
      <c r="Y178" s="20"/>
      <c r="Z178" s="20"/>
      <c r="AA178" s="20">
        <v>12.96</v>
      </c>
      <c r="AB178" s="20">
        <v>11.16</v>
      </c>
      <c r="AC178" s="20">
        <v>17.64</v>
      </c>
    </row>
    <row r="179" spans="1:29" ht="12.75" customHeight="1">
      <c r="A179" s="8" t="s">
        <v>24</v>
      </c>
      <c r="B179" s="8"/>
      <c r="C179" s="8"/>
      <c r="D179" s="8"/>
      <c r="E179" s="8"/>
      <c r="F179" s="12">
        <v>6180</v>
      </c>
      <c r="G179" s="12">
        <v>5908</v>
      </c>
      <c r="H179" s="12">
        <v>5564</v>
      </c>
      <c r="I179" s="12">
        <v>5541</v>
      </c>
      <c r="J179" s="12">
        <v>5598</v>
      </c>
      <c r="K179" s="12">
        <v>5397</v>
      </c>
      <c r="L179" s="12">
        <v>5662</v>
      </c>
      <c r="M179" s="12">
        <v>5795</v>
      </c>
      <c r="N179" s="12">
        <v>5872</v>
      </c>
      <c r="O179" s="12">
        <v>6113</v>
      </c>
      <c r="P179" s="21">
        <v>6917</v>
      </c>
      <c r="Q179" s="21">
        <v>6822</v>
      </c>
      <c r="R179" s="21">
        <v>6039</v>
      </c>
      <c r="S179" s="21">
        <v>5773</v>
      </c>
      <c r="T179" s="21">
        <v>6406</v>
      </c>
      <c r="U179" s="21">
        <v>6509</v>
      </c>
      <c r="V179" s="21">
        <v>7306</v>
      </c>
      <c r="W179" s="20">
        <v>7675</v>
      </c>
      <c r="X179" s="20">
        <v>7559</v>
      </c>
      <c r="Y179" s="20">
        <v>8194</v>
      </c>
      <c r="Z179" s="20">
        <v>8760</v>
      </c>
      <c r="AA179" s="20">
        <v>9655.19</v>
      </c>
      <c r="AB179" s="20">
        <v>10381.01</v>
      </c>
      <c r="AC179" s="20">
        <v>10214.81</v>
      </c>
    </row>
    <row r="180" spans="1:29" ht="12.75" customHeight="1">
      <c r="A180" s="13"/>
      <c r="B180" s="13"/>
      <c r="C180" s="13"/>
      <c r="D180" s="8"/>
      <c r="E180" s="8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21"/>
      <c r="Q180" s="21"/>
      <c r="R180" s="21"/>
      <c r="S180" s="21"/>
      <c r="T180" s="21"/>
      <c r="U180" s="21"/>
      <c r="V180" s="21"/>
      <c r="W180" s="12"/>
      <c r="X180" s="12"/>
      <c r="Y180" s="12"/>
      <c r="Z180" s="12"/>
      <c r="AA180" s="12"/>
      <c r="AB180" s="12"/>
      <c r="AC180" s="12"/>
    </row>
    <row r="181" spans="1:29" s="5" customFormat="1" ht="12.75" customHeight="1">
      <c r="A181" s="10" t="s">
        <v>21</v>
      </c>
      <c r="B181" s="10"/>
      <c r="C181" s="10"/>
      <c r="D181" s="10"/>
      <c r="E181" s="10"/>
      <c r="F181" s="10">
        <f t="shared" ref="F181:K181" si="220">F182+F183+F185</f>
        <v>34247</v>
      </c>
      <c r="G181" s="10">
        <f t="shared" si="220"/>
        <v>32953</v>
      </c>
      <c r="H181" s="10">
        <f t="shared" si="220"/>
        <v>32458</v>
      </c>
      <c r="I181" s="10">
        <f t="shared" si="220"/>
        <v>33302</v>
      </c>
      <c r="J181" s="10">
        <f t="shared" si="220"/>
        <v>32325</v>
      </c>
      <c r="K181" s="10">
        <f t="shared" si="220"/>
        <v>32881</v>
      </c>
      <c r="L181" s="10">
        <f t="shared" ref="L181:R181" si="221">L182+L183+L185</f>
        <v>33727</v>
      </c>
      <c r="M181" s="10">
        <f t="shared" si="221"/>
        <v>33383</v>
      </c>
      <c r="N181" s="10">
        <f t="shared" si="221"/>
        <v>37879</v>
      </c>
      <c r="O181" s="10">
        <f t="shared" si="221"/>
        <v>38614</v>
      </c>
      <c r="P181" s="9">
        <f t="shared" si="221"/>
        <v>38061</v>
      </c>
      <c r="Q181" s="9">
        <f t="shared" si="221"/>
        <v>37741</v>
      </c>
      <c r="R181" s="9">
        <f t="shared" si="221"/>
        <v>35481</v>
      </c>
      <c r="S181" s="9">
        <f t="shared" ref="S181:Z181" si="222">S182+S183+S185</f>
        <v>34702</v>
      </c>
      <c r="T181" s="9">
        <f t="shared" si="222"/>
        <v>35332</v>
      </c>
      <c r="U181" s="9">
        <f t="shared" si="222"/>
        <v>36979</v>
      </c>
      <c r="V181" s="9">
        <f t="shared" si="222"/>
        <v>40114</v>
      </c>
      <c r="W181" s="10">
        <f t="shared" si="222"/>
        <v>41904</v>
      </c>
      <c r="X181" s="10">
        <f t="shared" si="222"/>
        <v>46186</v>
      </c>
      <c r="Y181" s="10">
        <f t="shared" si="222"/>
        <v>50741</v>
      </c>
      <c r="Z181" s="10">
        <f t="shared" si="222"/>
        <v>53174</v>
      </c>
      <c r="AA181" s="10">
        <f>AA182+AA183+AA185+AA184</f>
        <v>56429.21</v>
      </c>
      <c r="AB181" s="10">
        <f>AB182+AB183+AB185+AB184</f>
        <v>59991.479999999996</v>
      </c>
      <c r="AC181" s="10">
        <f>AC182+AC183+AC185+AC184</f>
        <v>63032.090000000004</v>
      </c>
    </row>
    <row r="182" spans="1:29" ht="12.75" customHeight="1">
      <c r="A182" s="8" t="s">
        <v>2</v>
      </c>
      <c r="B182" s="8"/>
      <c r="C182" s="8"/>
      <c r="D182" s="8"/>
      <c r="E182" s="8"/>
      <c r="F182" s="12">
        <v>9489</v>
      </c>
      <c r="G182" s="12">
        <f>8497+51</f>
        <v>8548</v>
      </c>
      <c r="H182" s="12">
        <f>9465+43</f>
        <v>9508</v>
      </c>
      <c r="I182" s="12">
        <f>9246+66</f>
        <v>9312</v>
      </c>
      <c r="J182" s="12">
        <v>9076</v>
      </c>
      <c r="K182" s="12">
        <v>9465</v>
      </c>
      <c r="L182" s="12">
        <v>10010</v>
      </c>
      <c r="M182" s="12">
        <v>10000</v>
      </c>
      <c r="N182" s="12">
        <v>11252</v>
      </c>
      <c r="O182" s="12">
        <v>11040</v>
      </c>
      <c r="P182" s="21">
        <v>9772</v>
      </c>
      <c r="Q182" s="21">
        <v>10207</v>
      </c>
      <c r="R182" s="21">
        <v>8823</v>
      </c>
      <c r="S182" s="21">
        <v>9147</v>
      </c>
      <c r="T182" s="21">
        <v>10146</v>
      </c>
      <c r="U182" s="21">
        <v>10718</v>
      </c>
      <c r="V182" s="21">
        <v>11317</v>
      </c>
      <c r="W182" s="19">
        <v>12535</v>
      </c>
      <c r="X182" s="19">
        <v>13996</v>
      </c>
      <c r="Y182" s="19">
        <v>16108</v>
      </c>
      <c r="Z182" s="19">
        <v>17268</v>
      </c>
      <c r="AA182" s="19">
        <v>17605.080000000002</v>
      </c>
      <c r="AB182" s="19">
        <v>18974.13</v>
      </c>
      <c r="AC182" s="19">
        <v>19480.82</v>
      </c>
    </row>
    <row r="183" spans="1:29" ht="12.75" customHeight="1">
      <c r="A183" s="8" t="s">
        <v>3</v>
      </c>
      <c r="B183" s="8"/>
      <c r="C183" s="8"/>
      <c r="D183" s="8"/>
      <c r="E183" s="8"/>
      <c r="F183" s="12">
        <v>18621</v>
      </c>
      <c r="G183" s="12">
        <f>18384+332</f>
        <v>18716</v>
      </c>
      <c r="H183" s="12">
        <f>17276+385</f>
        <v>17661</v>
      </c>
      <c r="I183" s="12">
        <f>17949+445</f>
        <v>18394</v>
      </c>
      <c r="J183" s="12">
        <v>17713</v>
      </c>
      <c r="K183" s="12">
        <v>17698</v>
      </c>
      <c r="L183" s="12">
        <v>17997</v>
      </c>
      <c r="M183" s="12">
        <v>17819</v>
      </c>
      <c r="N183" s="12">
        <v>20813</v>
      </c>
      <c r="O183" s="12">
        <v>20823</v>
      </c>
      <c r="P183" s="21">
        <v>21442</v>
      </c>
      <c r="Q183" s="21">
        <v>20888</v>
      </c>
      <c r="R183" s="21">
        <v>20596</v>
      </c>
      <c r="S183" s="21">
        <v>19565</v>
      </c>
      <c r="T183" s="21">
        <v>18809</v>
      </c>
      <c r="U183" s="21">
        <v>19990</v>
      </c>
      <c r="V183" s="21">
        <v>21277</v>
      </c>
      <c r="W183" s="20">
        <v>22187</v>
      </c>
      <c r="X183" s="20">
        <v>24837</v>
      </c>
      <c r="Y183" s="20">
        <v>26468</v>
      </c>
      <c r="Z183" s="20">
        <v>27599</v>
      </c>
      <c r="AA183" s="20">
        <v>29241.06</v>
      </c>
      <c r="AB183" s="20">
        <v>31025.51</v>
      </c>
      <c r="AC183" s="20">
        <v>33508.26</v>
      </c>
    </row>
    <row r="184" spans="1:29" ht="12.75" customHeight="1">
      <c r="A184" s="8" t="s">
        <v>12</v>
      </c>
      <c r="B184" s="8"/>
      <c r="C184" s="8"/>
      <c r="D184" s="8"/>
      <c r="E184" s="8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21"/>
      <c r="Q184" s="21"/>
      <c r="R184" s="21"/>
      <c r="S184" s="21"/>
      <c r="T184" s="21"/>
      <c r="U184" s="21"/>
      <c r="V184" s="21"/>
      <c r="W184" s="20"/>
      <c r="X184" s="20"/>
      <c r="Y184" s="20"/>
      <c r="Z184" s="20"/>
      <c r="AA184" s="20">
        <v>0</v>
      </c>
      <c r="AB184" s="20">
        <v>0</v>
      </c>
      <c r="AC184" s="20">
        <v>0</v>
      </c>
    </row>
    <row r="185" spans="1:29" ht="12.75" customHeight="1">
      <c r="A185" s="8" t="s">
        <v>24</v>
      </c>
      <c r="B185" s="8"/>
      <c r="C185" s="8"/>
      <c r="D185" s="8"/>
      <c r="E185" s="8"/>
      <c r="F185" s="12">
        <v>6137</v>
      </c>
      <c r="G185" s="12">
        <v>5689</v>
      </c>
      <c r="H185" s="12">
        <v>5289</v>
      </c>
      <c r="I185" s="12">
        <v>5596</v>
      </c>
      <c r="J185" s="12">
        <v>5536</v>
      </c>
      <c r="K185" s="12">
        <v>5718</v>
      </c>
      <c r="L185" s="12">
        <v>5720</v>
      </c>
      <c r="M185" s="12">
        <v>5564</v>
      </c>
      <c r="N185" s="12">
        <v>5814</v>
      </c>
      <c r="O185" s="12">
        <v>6751</v>
      </c>
      <c r="P185" s="21">
        <v>6847</v>
      </c>
      <c r="Q185" s="21">
        <v>6646</v>
      </c>
      <c r="R185" s="21">
        <v>6062</v>
      </c>
      <c r="S185" s="21">
        <v>5990</v>
      </c>
      <c r="T185" s="21">
        <v>6377</v>
      </c>
      <c r="U185" s="21">
        <v>6271</v>
      </c>
      <c r="V185" s="21">
        <v>7520</v>
      </c>
      <c r="W185" s="20">
        <v>7182</v>
      </c>
      <c r="X185" s="20">
        <v>7353</v>
      </c>
      <c r="Y185" s="20">
        <v>8165</v>
      </c>
      <c r="Z185" s="20">
        <v>8307</v>
      </c>
      <c r="AA185" s="20">
        <v>9583.07</v>
      </c>
      <c r="AB185" s="20">
        <v>9991.84</v>
      </c>
      <c r="AC185" s="20">
        <v>10043.01</v>
      </c>
    </row>
    <row r="186" spans="1:29" ht="12.75" customHeight="1">
      <c r="A186" s="13"/>
      <c r="B186" s="13"/>
      <c r="C186" s="13"/>
      <c r="D186" s="8"/>
      <c r="E186" s="8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21"/>
      <c r="Q186" s="21"/>
      <c r="R186" s="21"/>
      <c r="S186" s="21"/>
      <c r="T186" s="21"/>
      <c r="U186" s="21"/>
      <c r="V186" s="21"/>
      <c r="W186" s="12"/>
      <c r="X186" s="12"/>
      <c r="Y186" s="12"/>
      <c r="Z186" s="12"/>
      <c r="AA186" s="12"/>
      <c r="AB186" s="12"/>
      <c r="AC186" s="12"/>
    </row>
    <row r="187" spans="1:29" s="5" customFormat="1" ht="12.75" customHeight="1">
      <c r="A187" s="9" t="s">
        <v>22</v>
      </c>
      <c r="B187" s="9"/>
      <c r="C187" s="9"/>
      <c r="D187" s="10"/>
      <c r="E187" s="10"/>
      <c r="F187" s="10">
        <f t="shared" ref="F187:AC187" si="223">F169+F175+F181</f>
        <v>73631</v>
      </c>
      <c r="G187" s="10">
        <f t="shared" si="223"/>
        <v>72096</v>
      </c>
      <c r="H187" s="10">
        <f t="shared" si="223"/>
        <v>69563</v>
      </c>
      <c r="I187" s="10">
        <f t="shared" si="223"/>
        <v>70927</v>
      </c>
      <c r="J187" s="10">
        <f t="shared" si="223"/>
        <v>70183</v>
      </c>
      <c r="K187" s="10">
        <f t="shared" si="223"/>
        <v>70224</v>
      </c>
      <c r="L187" s="10">
        <f t="shared" si="223"/>
        <v>71798</v>
      </c>
      <c r="M187" s="10">
        <f t="shared" si="223"/>
        <v>72415</v>
      </c>
      <c r="N187" s="10">
        <f t="shared" si="223"/>
        <v>80083</v>
      </c>
      <c r="O187" s="10">
        <f t="shared" si="223"/>
        <v>83782</v>
      </c>
      <c r="P187" s="9">
        <f t="shared" si="223"/>
        <v>83488</v>
      </c>
      <c r="Q187" s="9">
        <f t="shared" si="223"/>
        <v>81602</v>
      </c>
      <c r="R187" s="9">
        <f t="shared" si="223"/>
        <v>77876</v>
      </c>
      <c r="S187" s="9">
        <f t="shared" si="223"/>
        <v>75782</v>
      </c>
      <c r="T187" s="9">
        <f t="shared" si="223"/>
        <v>77216</v>
      </c>
      <c r="U187" s="9">
        <f t="shared" si="223"/>
        <v>80869</v>
      </c>
      <c r="V187" s="10">
        <f t="shared" si="223"/>
        <v>87533</v>
      </c>
      <c r="W187" s="10">
        <f t="shared" si="223"/>
        <v>92765</v>
      </c>
      <c r="X187" s="10">
        <f t="shared" si="223"/>
        <v>99470</v>
      </c>
      <c r="Y187" s="10">
        <f t="shared" si="223"/>
        <v>108868</v>
      </c>
      <c r="Z187" s="10">
        <f t="shared" si="223"/>
        <v>116401</v>
      </c>
      <c r="AA187" s="10">
        <f>AA169+AA175+AA181</f>
        <v>122868.5</v>
      </c>
      <c r="AB187" s="10">
        <f t="shared" ref="AB187" si="224">AB169+AB175+AB181</f>
        <v>131434.29999999999</v>
      </c>
      <c r="AC187" s="10">
        <f t="shared" si="223"/>
        <v>137123.29</v>
      </c>
    </row>
    <row r="188" spans="1:29" s="5" customFormat="1" ht="12.75" customHeight="1">
      <c r="A188" s="11" t="s">
        <v>2</v>
      </c>
      <c r="B188" s="11"/>
      <c r="C188" s="10"/>
      <c r="D188" s="10"/>
      <c r="E188" s="10"/>
      <c r="F188" s="10">
        <f t="shared" ref="F188:AC188" si="225">F170+F176+F182</f>
        <v>21403</v>
      </c>
      <c r="G188" s="10">
        <f t="shared" si="225"/>
        <v>19664</v>
      </c>
      <c r="H188" s="10">
        <f t="shared" si="225"/>
        <v>20135</v>
      </c>
      <c r="I188" s="10">
        <f t="shared" si="225"/>
        <v>20776</v>
      </c>
      <c r="J188" s="10">
        <f t="shared" si="225"/>
        <v>20534</v>
      </c>
      <c r="K188" s="10">
        <f t="shared" si="225"/>
        <v>20936</v>
      </c>
      <c r="L188" s="10">
        <f t="shared" si="225"/>
        <v>21761</v>
      </c>
      <c r="M188" s="10">
        <f t="shared" si="225"/>
        <v>22843</v>
      </c>
      <c r="N188" s="10">
        <f t="shared" si="225"/>
        <v>24283</v>
      </c>
      <c r="O188" s="10">
        <f t="shared" si="225"/>
        <v>25864</v>
      </c>
      <c r="P188" s="9">
        <f t="shared" si="225"/>
        <v>23378</v>
      </c>
      <c r="Q188" s="9">
        <f t="shared" si="225"/>
        <v>23597</v>
      </c>
      <c r="R188" s="9">
        <f t="shared" si="225"/>
        <v>21798</v>
      </c>
      <c r="S188" s="9">
        <f t="shared" si="225"/>
        <v>20970</v>
      </c>
      <c r="T188" s="9">
        <f t="shared" si="225"/>
        <v>23155</v>
      </c>
      <c r="U188" s="9">
        <f t="shared" si="225"/>
        <v>24913</v>
      </c>
      <c r="V188" s="10">
        <f t="shared" si="225"/>
        <v>26266</v>
      </c>
      <c r="W188" s="10">
        <f t="shared" si="225"/>
        <v>29591</v>
      </c>
      <c r="X188" s="10">
        <f t="shared" si="225"/>
        <v>33454</v>
      </c>
      <c r="Y188" s="10">
        <f t="shared" si="225"/>
        <v>36546</v>
      </c>
      <c r="Z188" s="10">
        <f t="shared" si="225"/>
        <v>39931</v>
      </c>
      <c r="AA188" s="10">
        <f>AA170+AA176+AA182</f>
        <v>40899</v>
      </c>
      <c r="AB188" s="10">
        <f t="shared" ref="AB188" si="226">AB170+AB176+AB182</f>
        <v>43910.600000000006</v>
      </c>
      <c r="AC188" s="10">
        <f t="shared" si="225"/>
        <v>45737</v>
      </c>
    </row>
    <row r="189" spans="1:29" s="5" customFormat="1" ht="12.75" customHeight="1">
      <c r="A189" s="11" t="s">
        <v>3</v>
      </c>
      <c r="B189" s="11"/>
      <c r="C189" s="10"/>
      <c r="D189" s="10"/>
      <c r="E189" s="10"/>
      <c r="F189" s="10">
        <f t="shared" ref="F189:AC189" si="227">F171+F177+F183</f>
        <v>38338</v>
      </c>
      <c r="G189" s="10">
        <f t="shared" si="227"/>
        <v>39167</v>
      </c>
      <c r="H189" s="10">
        <f t="shared" si="227"/>
        <v>37166</v>
      </c>
      <c r="I189" s="10">
        <f t="shared" si="227"/>
        <v>37677</v>
      </c>
      <c r="J189" s="10">
        <f t="shared" si="227"/>
        <v>37091</v>
      </c>
      <c r="K189" s="10">
        <f t="shared" si="227"/>
        <v>36645</v>
      </c>
      <c r="L189" s="10">
        <f t="shared" si="227"/>
        <v>37147</v>
      </c>
      <c r="M189" s="10">
        <f t="shared" si="227"/>
        <v>36555</v>
      </c>
      <c r="N189" s="10">
        <f t="shared" si="227"/>
        <v>42511</v>
      </c>
      <c r="O189" s="10">
        <f t="shared" si="227"/>
        <v>43385</v>
      </c>
      <c r="P189" s="9">
        <f t="shared" si="227"/>
        <v>44460</v>
      </c>
      <c r="Q189" s="9">
        <f t="shared" si="227"/>
        <v>42716</v>
      </c>
      <c r="R189" s="9">
        <f t="shared" si="227"/>
        <v>41942</v>
      </c>
      <c r="S189" s="9">
        <f t="shared" si="227"/>
        <v>40978</v>
      </c>
      <c r="T189" s="9">
        <f t="shared" si="227"/>
        <v>39169</v>
      </c>
      <c r="U189" s="9">
        <f t="shared" si="227"/>
        <v>40726</v>
      </c>
      <c r="V189" s="10">
        <f t="shared" si="227"/>
        <v>44217</v>
      </c>
      <c r="W189" s="10">
        <f t="shared" si="227"/>
        <v>45993</v>
      </c>
      <c r="X189" s="10">
        <f t="shared" si="227"/>
        <v>50529</v>
      </c>
      <c r="Y189" s="10">
        <f t="shared" si="227"/>
        <v>54838</v>
      </c>
      <c r="Z189" s="10">
        <f t="shared" si="227"/>
        <v>57950</v>
      </c>
      <c r="AA189" s="10">
        <f>AA171+AA177+AA183</f>
        <v>61215.42</v>
      </c>
      <c r="AB189" s="10">
        <f t="shared" ref="AB189" si="228">AB171+AB177+AB183</f>
        <v>65505.989999999991</v>
      </c>
      <c r="AC189" s="10">
        <f t="shared" si="227"/>
        <v>69491.61</v>
      </c>
    </row>
    <row r="190" spans="1:29" s="5" customFormat="1" ht="12.75" customHeight="1">
      <c r="A190" s="8" t="s">
        <v>12</v>
      </c>
      <c r="B190" s="8"/>
      <c r="C190" s="8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9"/>
      <c r="Q190" s="9"/>
      <c r="R190" s="9"/>
      <c r="S190" s="9"/>
      <c r="T190" s="9"/>
      <c r="U190" s="9"/>
      <c r="V190" s="10"/>
      <c r="W190" s="10"/>
      <c r="X190" s="10"/>
      <c r="Y190" s="10"/>
      <c r="Z190" s="10"/>
      <c r="AA190" s="10">
        <f>AA172+AA178+AA184</f>
        <v>12.96</v>
      </c>
      <c r="AB190" s="10">
        <f>AB172+AB178+AB184</f>
        <v>11.16</v>
      </c>
      <c r="AC190" s="10">
        <f>AC172+AC178+AC184</f>
        <v>17.64</v>
      </c>
    </row>
    <row r="191" spans="1:29" s="5" customFormat="1" ht="12.75" customHeight="1">
      <c r="A191" s="11" t="s">
        <v>24</v>
      </c>
      <c r="B191" s="11"/>
      <c r="C191" s="10"/>
      <c r="D191" s="10"/>
      <c r="E191" s="10"/>
      <c r="F191" s="10">
        <f t="shared" ref="F191:K191" si="229">F173+F179+F185</f>
        <v>13890</v>
      </c>
      <c r="G191" s="10">
        <f t="shared" si="229"/>
        <v>13265</v>
      </c>
      <c r="H191" s="10">
        <f t="shared" si="229"/>
        <v>12262</v>
      </c>
      <c r="I191" s="10">
        <f t="shared" si="229"/>
        <v>12474</v>
      </c>
      <c r="J191" s="10">
        <f t="shared" si="229"/>
        <v>12558</v>
      </c>
      <c r="K191" s="10">
        <f t="shared" si="229"/>
        <v>12643</v>
      </c>
      <c r="L191" s="10">
        <f t="shared" ref="L191:Z191" si="230">L173+L179+L185</f>
        <v>12890</v>
      </c>
      <c r="M191" s="10">
        <f t="shared" si="230"/>
        <v>13017</v>
      </c>
      <c r="N191" s="10">
        <f t="shared" si="230"/>
        <v>13289</v>
      </c>
      <c r="O191" s="10">
        <f t="shared" si="230"/>
        <v>14533</v>
      </c>
      <c r="P191" s="9">
        <f t="shared" si="230"/>
        <v>15650</v>
      </c>
      <c r="Q191" s="9">
        <f t="shared" si="230"/>
        <v>15289</v>
      </c>
      <c r="R191" s="9">
        <f t="shared" si="230"/>
        <v>14136</v>
      </c>
      <c r="S191" s="9">
        <f t="shared" si="230"/>
        <v>13834</v>
      </c>
      <c r="T191" s="9">
        <f t="shared" si="230"/>
        <v>14892</v>
      </c>
      <c r="U191" s="9">
        <f t="shared" si="230"/>
        <v>15230</v>
      </c>
      <c r="V191" s="10">
        <f t="shared" si="230"/>
        <v>17050</v>
      </c>
      <c r="W191" s="10">
        <f t="shared" si="230"/>
        <v>17181</v>
      </c>
      <c r="X191" s="10">
        <f t="shared" si="230"/>
        <v>15487</v>
      </c>
      <c r="Y191" s="10">
        <f t="shared" si="230"/>
        <v>17484</v>
      </c>
      <c r="Z191" s="10">
        <f t="shared" si="230"/>
        <v>18520</v>
      </c>
      <c r="AA191" s="10">
        <f>AA173+AA179+AA185</f>
        <v>20741.120000000003</v>
      </c>
      <c r="AB191" s="10">
        <f>AB173+AB179+AB185</f>
        <v>22006.550000000003</v>
      </c>
      <c r="AC191" s="10">
        <f>AC173+AC179+AC185</f>
        <v>21877.040000000001</v>
      </c>
    </row>
    <row r="192" spans="1:29" s="5" customFormat="1" ht="12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9"/>
      <c r="Q192" s="9"/>
      <c r="R192" s="9"/>
      <c r="S192" s="9"/>
      <c r="T192" s="9"/>
      <c r="U192" s="9"/>
      <c r="V192" s="10"/>
      <c r="W192" s="10"/>
      <c r="X192" s="10"/>
      <c r="Y192" s="10"/>
      <c r="Z192" s="10"/>
      <c r="AA192" s="10"/>
      <c r="AB192" s="10"/>
      <c r="AC192" s="10"/>
    </row>
    <row r="193" spans="1:29" s="5" customFormat="1" ht="12.75" hidden="1" customHeight="1" thickBot="1">
      <c r="A193" s="38" t="s">
        <v>14</v>
      </c>
      <c r="B193" s="38"/>
      <c r="C193" s="38"/>
      <c r="D193" s="39"/>
      <c r="E193" s="39"/>
      <c r="F193" s="39" t="s">
        <v>15</v>
      </c>
      <c r="G193" s="39" t="s">
        <v>16</v>
      </c>
      <c r="H193" s="39" t="s">
        <v>17</v>
      </c>
      <c r="I193" s="39" t="s">
        <v>18</v>
      </c>
      <c r="J193" s="39" t="s">
        <v>23</v>
      </c>
      <c r="K193" s="39" t="s">
        <v>25</v>
      </c>
      <c r="L193" s="39" t="s">
        <v>26</v>
      </c>
      <c r="M193" s="39" t="s">
        <v>40</v>
      </c>
      <c r="N193" s="39" t="s">
        <v>46</v>
      </c>
      <c r="O193" s="39" t="s">
        <v>47</v>
      </c>
      <c r="P193" s="39" t="s">
        <v>48</v>
      </c>
      <c r="Q193" s="39" t="s">
        <v>52</v>
      </c>
      <c r="R193" s="40" t="s">
        <v>55</v>
      </c>
      <c r="S193" s="40" t="s">
        <v>57</v>
      </c>
      <c r="T193" s="40" t="s">
        <v>60</v>
      </c>
      <c r="U193" s="40" t="s">
        <v>62</v>
      </c>
      <c r="V193" s="40" t="s">
        <v>65</v>
      </c>
      <c r="W193" s="40" t="s">
        <v>67</v>
      </c>
      <c r="X193" s="40" t="s">
        <v>69</v>
      </c>
      <c r="Y193" s="40" t="s">
        <v>71</v>
      </c>
      <c r="Z193" s="40" t="s">
        <v>71</v>
      </c>
      <c r="AA193" s="40" t="s">
        <v>71</v>
      </c>
      <c r="AB193" s="40" t="s">
        <v>71</v>
      </c>
      <c r="AC193" s="40" t="s">
        <v>71</v>
      </c>
    </row>
    <row r="194" spans="1:29" s="5" customFormat="1" ht="12.75" hidden="1" customHeight="1">
      <c r="A194" s="23" t="s">
        <v>9</v>
      </c>
      <c r="B194" s="10"/>
      <c r="C194" s="10"/>
      <c r="D194" s="10"/>
      <c r="E194" s="10"/>
      <c r="F194" s="10">
        <f t="shared" ref="F194:K194" si="231">F195+F200+F205</f>
        <v>33406</v>
      </c>
      <c r="G194" s="10">
        <f t="shared" si="231"/>
        <v>33678</v>
      </c>
      <c r="H194" s="10">
        <f t="shared" si="231"/>
        <v>33567</v>
      </c>
      <c r="I194" s="10">
        <f t="shared" si="231"/>
        <v>33653</v>
      </c>
      <c r="J194" s="10">
        <f t="shared" si="231"/>
        <v>33711</v>
      </c>
      <c r="K194" s="10">
        <f t="shared" si="231"/>
        <v>33736</v>
      </c>
      <c r="L194" s="10">
        <f t="shared" ref="L194:AC194" si="232">L195+L200+L205</f>
        <v>34400</v>
      </c>
      <c r="M194" s="10">
        <f t="shared" si="232"/>
        <v>36033</v>
      </c>
      <c r="N194" s="10">
        <f t="shared" si="232"/>
        <v>37109</v>
      </c>
      <c r="O194" s="10">
        <f t="shared" si="232"/>
        <v>36080</v>
      </c>
      <c r="P194" s="9">
        <f t="shared" si="232"/>
        <v>35234</v>
      </c>
      <c r="Q194" s="9">
        <f t="shared" si="232"/>
        <v>34420</v>
      </c>
      <c r="R194" s="36">
        <f t="shared" si="232"/>
        <v>0</v>
      </c>
      <c r="S194" s="36">
        <f t="shared" ref="S194:AB194" si="233">S195+S200+S205</f>
        <v>0</v>
      </c>
      <c r="T194" s="36">
        <f t="shared" si="233"/>
        <v>0</v>
      </c>
      <c r="U194" s="36">
        <f t="shared" si="233"/>
        <v>0</v>
      </c>
      <c r="V194" s="35">
        <f t="shared" si="233"/>
        <v>0</v>
      </c>
      <c r="W194" s="35">
        <f t="shared" si="233"/>
        <v>0</v>
      </c>
      <c r="X194" s="35">
        <f t="shared" si="233"/>
        <v>0</v>
      </c>
      <c r="Y194" s="35">
        <f t="shared" si="233"/>
        <v>0</v>
      </c>
      <c r="Z194" s="35">
        <f t="shared" si="233"/>
        <v>0</v>
      </c>
      <c r="AA194" s="35">
        <f t="shared" si="233"/>
        <v>0</v>
      </c>
      <c r="AB194" s="35">
        <f t="shared" si="233"/>
        <v>0</v>
      </c>
      <c r="AC194" s="35">
        <f t="shared" si="232"/>
        <v>0</v>
      </c>
    </row>
    <row r="195" spans="1:29" s="5" customFormat="1" ht="12.75" hidden="1" customHeight="1">
      <c r="A195" s="10" t="s">
        <v>19</v>
      </c>
      <c r="B195" s="10"/>
      <c r="C195" s="10"/>
      <c r="D195" s="10"/>
      <c r="E195" s="10"/>
      <c r="F195" s="10">
        <f t="shared" ref="F195:K195" si="234">F196+F197+F198</f>
        <v>2248</v>
      </c>
      <c r="G195" s="10">
        <f t="shared" si="234"/>
        <v>2367</v>
      </c>
      <c r="H195" s="10">
        <f t="shared" si="234"/>
        <v>2536</v>
      </c>
      <c r="I195" s="10">
        <f t="shared" si="234"/>
        <v>2467</v>
      </c>
      <c r="J195" s="10">
        <f t="shared" si="234"/>
        <v>2597</v>
      </c>
      <c r="K195" s="10">
        <f t="shared" si="234"/>
        <v>2244</v>
      </c>
      <c r="L195" s="10">
        <f t="shared" ref="L195:AC195" si="235">L196+L197+L198</f>
        <v>2189</v>
      </c>
      <c r="M195" s="10">
        <f t="shared" si="235"/>
        <v>2244</v>
      </c>
      <c r="N195" s="10">
        <f t="shared" si="235"/>
        <v>2405</v>
      </c>
      <c r="O195" s="10">
        <f t="shared" si="235"/>
        <v>2489</v>
      </c>
      <c r="P195" s="9">
        <f t="shared" si="235"/>
        <v>2515</v>
      </c>
      <c r="Q195" s="9">
        <f t="shared" si="235"/>
        <v>2643</v>
      </c>
      <c r="R195" s="36">
        <f t="shared" si="235"/>
        <v>0</v>
      </c>
      <c r="S195" s="36">
        <f t="shared" ref="S195:AB195" si="236">S196+S197+S198</f>
        <v>0</v>
      </c>
      <c r="T195" s="36">
        <f t="shared" si="236"/>
        <v>0</v>
      </c>
      <c r="U195" s="36">
        <f t="shared" si="236"/>
        <v>0</v>
      </c>
      <c r="V195" s="36">
        <f t="shared" si="236"/>
        <v>0</v>
      </c>
      <c r="W195" s="36">
        <f t="shared" si="236"/>
        <v>0</v>
      </c>
      <c r="X195" s="36">
        <f t="shared" si="236"/>
        <v>0</v>
      </c>
      <c r="Y195" s="36">
        <f t="shared" si="236"/>
        <v>0</v>
      </c>
      <c r="Z195" s="36">
        <f t="shared" si="236"/>
        <v>0</v>
      </c>
      <c r="AA195" s="36">
        <f t="shared" si="236"/>
        <v>0</v>
      </c>
      <c r="AB195" s="36">
        <f t="shared" si="236"/>
        <v>0</v>
      </c>
      <c r="AC195" s="36">
        <f t="shared" si="235"/>
        <v>0</v>
      </c>
    </row>
    <row r="196" spans="1:29" ht="12.75" hidden="1" customHeight="1">
      <c r="A196" s="8" t="s">
        <v>2</v>
      </c>
      <c r="B196" s="8"/>
      <c r="C196" s="8"/>
      <c r="D196" s="8"/>
      <c r="E196" s="8"/>
      <c r="F196" s="12">
        <v>525</v>
      </c>
      <c r="G196" s="12">
        <f>411</f>
        <v>411</v>
      </c>
      <c r="H196" s="12">
        <v>480</v>
      </c>
      <c r="I196" s="12">
        <v>492</v>
      </c>
      <c r="J196" s="12">
        <v>582</v>
      </c>
      <c r="K196" s="12">
        <v>432</v>
      </c>
      <c r="L196" s="12">
        <v>515</v>
      </c>
      <c r="M196" s="12">
        <v>570</v>
      </c>
      <c r="N196" s="12">
        <v>648</v>
      </c>
      <c r="O196" s="12">
        <v>539</v>
      </c>
      <c r="P196" s="21">
        <v>495</v>
      </c>
      <c r="Q196" s="21">
        <v>648</v>
      </c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</row>
    <row r="197" spans="1:29" ht="12.75" hidden="1" customHeight="1">
      <c r="A197" s="8" t="s">
        <v>3</v>
      </c>
      <c r="B197" s="8"/>
      <c r="C197" s="8"/>
      <c r="D197" s="8"/>
      <c r="E197" s="8"/>
      <c r="F197" s="12">
        <v>1297</v>
      </c>
      <c r="G197" s="12">
        <f>796+622</f>
        <v>1418</v>
      </c>
      <c r="H197" s="12">
        <f>607+815</f>
        <v>1422</v>
      </c>
      <c r="I197" s="12">
        <f>615+861</f>
        <v>1476</v>
      </c>
      <c r="J197" s="12">
        <f>503+1050</f>
        <v>1553</v>
      </c>
      <c r="K197" s="12">
        <v>1336</v>
      </c>
      <c r="L197" s="12">
        <v>1164</v>
      </c>
      <c r="M197" s="12">
        <v>1351</v>
      </c>
      <c r="N197" s="12">
        <v>1333</v>
      </c>
      <c r="O197" s="12">
        <v>1401</v>
      </c>
      <c r="P197" s="21">
        <v>1579</v>
      </c>
      <c r="Q197" s="21">
        <v>1504</v>
      </c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</row>
    <row r="198" spans="1:29" ht="12.75" hidden="1" customHeight="1">
      <c r="A198" s="8" t="s">
        <v>24</v>
      </c>
      <c r="B198" s="8"/>
      <c r="C198" s="8"/>
      <c r="D198" s="8"/>
      <c r="E198" s="8"/>
      <c r="F198" s="12">
        <v>426</v>
      </c>
      <c r="G198" s="12">
        <v>538</v>
      </c>
      <c r="H198" s="12">
        <v>634</v>
      </c>
      <c r="I198" s="12">
        <v>499</v>
      </c>
      <c r="J198" s="12">
        <v>462</v>
      </c>
      <c r="K198" s="12">
        <v>476</v>
      </c>
      <c r="L198" s="12">
        <v>510</v>
      </c>
      <c r="M198" s="12">
        <v>323</v>
      </c>
      <c r="N198" s="12">
        <v>424</v>
      </c>
      <c r="O198" s="12">
        <v>549</v>
      </c>
      <c r="P198" s="21">
        <v>441</v>
      </c>
      <c r="Q198" s="21">
        <v>491</v>
      </c>
      <c r="R198" s="37">
        <v>0</v>
      </c>
      <c r="S198" s="37">
        <v>0</v>
      </c>
      <c r="T198" s="37">
        <v>0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</row>
    <row r="199" spans="1:29" ht="12.75" hidden="1" customHeight="1">
      <c r="A199" s="13"/>
      <c r="B199" s="13"/>
      <c r="C199" s="13"/>
      <c r="D199" s="8"/>
      <c r="E199" s="8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21"/>
      <c r="Q199" s="21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</row>
    <row r="200" spans="1:29" s="5" customFormat="1" ht="12.75" hidden="1" customHeight="1">
      <c r="A200" s="10" t="s">
        <v>20</v>
      </c>
      <c r="B200" s="10"/>
      <c r="C200" s="10"/>
      <c r="D200" s="10"/>
      <c r="E200" s="10"/>
      <c r="F200" s="10">
        <f t="shared" ref="F200:K200" si="237">F201+F202+F203</f>
        <v>16016</v>
      </c>
      <c r="G200" s="10">
        <f t="shared" si="237"/>
        <v>15908</v>
      </c>
      <c r="H200" s="10">
        <f t="shared" si="237"/>
        <v>15973</v>
      </c>
      <c r="I200" s="10">
        <f t="shared" si="237"/>
        <v>15974</v>
      </c>
      <c r="J200" s="10">
        <f t="shared" si="237"/>
        <v>16125</v>
      </c>
      <c r="K200" s="10">
        <f t="shared" si="237"/>
        <v>15916</v>
      </c>
      <c r="L200" s="10">
        <f t="shared" ref="L200:AC200" si="238">L201+L202+L203</f>
        <v>16443</v>
      </c>
      <c r="M200" s="10">
        <f t="shared" si="238"/>
        <v>17411</v>
      </c>
      <c r="N200" s="10">
        <f t="shared" si="238"/>
        <v>17716</v>
      </c>
      <c r="O200" s="10">
        <f t="shared" si="238"/>
        <v>17230</v>
      </c>
      <c r="P200" s="9">
        <f t="shared" si="238"/>
        <v>16441</v>
      </c>
      <c r="Q200" s="9">
        <f t="shared" si="238"/>
        <v>15598</v>
      </c>
      <c r="R200" s="36">
        <f t="shared" si="238"/>
        <v>0</v>
      </c>
      <c r="S200" s="36">
        <f t="shared" ref="S200:AB200" si="239">S201+S202+S203</f>
        <v>0</v>
      </c>
      <c r="T200" s="36">
        <f t="shared" si="239"/>
        <v>0</v>
      </c>
      <c r="U200" s="36">
        <f t="shared" si="239"/>
        <v>0</v>
      </c>
      <c r="V200" s="36">
        <f t="shared" si="239"/>
        <v>0</v>
      </c>
      <c r="W200" s="36">
        <f t="shared" si="239"/>
        <v>0</v>
      </c>
      <c r="X200" s="36">
        <f t="shared" si="239"/>
        <v>0</v>
      </c>
      <c r="Y200" s="36">
        <f t="shared" si="239"/>
        <v>0</v>
      </c>
      <c r="Z200" s="36">
        <f t="shared" si="239"/>
        <v>0</v>
      </c>
      <c r="AA200" s="36">
        <f t="shared" si="239"/>
        <v>0</v>
      </c>
      <c r="AB200" s="36">
        <f t="shared" si="239"/>
        <v>0</v>
      </c>
      <c r="AC200" s="36">
        <f t="shared" si="238"/>
        <v>0</v>
      </c>
    </row>
    <row r="201" spans="1:29" ht="12.75" hidden="1" customHeight="1">
      <c r="A201" s="8" t="s">
        <v>2</v>
      </c>
      <c r="B201" s="8"/>
      <c r="C201" s="8"/>
      <c r="D201" s="8"/>
      <c r="E201" s="8"/>
      <c r="F201" s="12">
        <v>7987</v>
      </c>
      <c r="G201" s="12">
        <f>7631</f>
        <v>7631</v>
      </c>
      <c r="H201" s="12">
        <v>7800</v>
      </c>
      <c r="I201" s="12">
        <v>8301</v>
      </c>
      <c r="J201" s="12">
        <v>8411</v>
      </c>
      <c r="K201" s="12">
        <v>8285</v>
      </c>
      <c r="L201" s="12">
        <v>8785</v>
      </c>
      <c r="M201" s="12">
        <v>9232</v>
      </c>
      <c r="N201" s="12">
        <v>9819</v>
      </c>
      <c r="O201" s="12">
        <v>9025</v>
      </c>
      <c r="P201" s="21">
        <v>8455</v>
      </c>
      <c r="Q201" s="21">
        <v>7669</v>
      </c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</row>
    <row r="202" spans="1:29" ht="12.75" hidden="1" customHeight="1">
      <c r="A202" s="8" t="s">
        <v>3</v>
      </c>
      <c r="B202" s="8"/>
      <c r="C202" s="8"/>
      <c r="D202" s="8"/>
      <c r="E202" s="8"/>
      <c r="F202" s="12">
        <v>6447</v>
      </c>
      <c r="G202" s="12">
        <f>6073+606</f>
        <v>6679</v>
      </c>
      <c r="H202" s="12">
        <f>5870+763</f>
        <v>6633</v>
      </c>
      <c r="I202" s="12">
        <f>5640+608</f>
        <v>6248</v>
      </c>
      <c r="J202" s="12">
        <f>5788+614</f>
        <v>6402</v>
      </c>
      <c r="K202" s="12">
        <v>6323</v>
      </c>
      <c r="L202" s="12">
        <v>6595</v>
      </c>
      <c r="M202" s="12">
        <v>7013</v>
      </c>
      <c r="N202" s="12">
        <v>6875</v>
      </c>
      <c r="O202" s="12">
        <v>6920</v>
      </c>
      <c r="P202" s="21">
        <v>6836</v>
      </c>
      <c r="Q202" s="21">
        <v>6821</v>
      </c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</row>
    <row r="203" spans="1:29" ht="12.75" hidden="1" customHeight="1">
      <c r="A203" s="8" t="s">
        <v>24</v>
      </c>
      <c r="B203" s="8"/>
      <c r="C203" s="8"/>
      <c r="D203" s="8"/>
      <c r="E203" s="8"/>
      <c r="F203" s="12">
        <v>1582</v>
      </c>
      <c r="G203" s="12">
        <v>1598</v>
      </c>
      <c r="H203" s="12">
        <v>1540</v>
      </c>
      <c r="I203" s="12">
        <v>1425</v>
      </c>
      <c r="J203" s="12">
        <v>1312</v>
      </c>
      <c r="K203" s="12">
        <v>1308</v>
      </c>
      <c r="L203" s="12">
        <v>1063</v>
      </c>
      <c r="M203" s="12">
        <v>1166</v>
      </c>
      <c r="N203" s="12">
        <v>1022</v>
      </c>
      <c r="O203" s="12">
        <v>1285</v>
      </c>
      <c r="P203" s="21">
        <v>1150</v>
      </c>
      <c r="Q203" s="21">
        <v>1108</v>
      </c>
      <c r="R203" s="37">
        <v>0</v>
      </c>
      <c r="S203" s="37">
        <v>0</v>
      </c>
      <c r="T203" s="37">
        <v>0</v>
      </c>
      <c r="U203" s="37">
        <v>0</v>
      </c>
      <c r="V203" s="37">
        <v>0</v>
      </c>
      <c r="W203" s="37">
        <v>0</v>
      </c>
      <c r="X203" s="37">
        <v>0</v>
      </c>
      <c r="Y203" s="37">
        <v>0</v>
      </c>
      <c r="Z203" s="37">
        <v>0</v>
      </c>
      <c r="AA203" s="37">
        <v>0</v>
      </c>
      <c r="AB203" s="37">
        <v>0</v>
      </c>
      <c r="AC203" s="37">
        <v>0</v>
      </c>
    </row>
    <row r="204" spans="1:29" ht="12.75" hidden="1" customHeight="1">
      <c r="A204" s="13"/>
      <c r="B204" s="13"/>
      <c r="C204" s="13"/>
      <c r="D204" s="8"/>
      <c r="E204" s="8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21"/>
      <c r="Q204" s="21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</row>
    <row r="205" spans="1:29" s="5" customFormat="1" ht="12.75" hidden="1" customHeight="1">
      <c r="A205" s="10" t="s">
        <v>21</v>
      </c>
      <c r="B205" s="10"/>
      <c r="C205" s="10"/>
      <c r="D205" s="10"/>
      <c r="E205" s="10"/>
      <c r="F205" s="10">
        <f t="shared" ref="F205:K205" si="240">F206+F207+F208</f>
        <v>15142</v>
      </c>
      <c r="G205" s="10">
        <f t="shared" si="240"/>
        <v>15403</v>
      </c>
      <c r="H205" s="10">
        <f t="shared" si="240"/>
        <v>15058</v>
      </c>
      <c r="I205" s="10">
        <f t="shared" si="240"/>
        <v>15212</v>
      </c>
      <c r="J205" s="10">
        <f t="shared" si="240"/>
        <v>14989</v>
      </c>
      <c r="K205" s="10">
        <f t="shared" si="240"/>
        <v>15576</v>
      </c>
      <c r="L205" s="10">
        <f t="shared" ref="L205:AC205" si="241">L206+L207+L208</f>
        <v>15768</v>
      </c>
      <c r="M205" s="10">
        <f t="shared" si="241"/>
        <v>16378</v>
      </c>
      <c r="N205" s="10">
        <f t="shared" si="241"/>
        <v>16988</v>
      </c>
      <c r="O205" s="10">
        <f t="shared" si="241"/>
        <v>16361</v>
      </c>
      <c r="P205" s="9">
        <f t="shared" si="241"/>
        <v>16278</v>
      </c>
      <c r="Q205" s="9">
        <f t="shared" si="241"/>
        <v>16179</v>
      </c>
      <c r="R205" s="36">
        <f t="shared" si="241"/>
        <v>0</v>
      </c>
      <c r="S205" s="36">
        <f t="shared" ref="S205:AB205" si="242">S206+S207+S208</f>
        <v>0</v>
      </c>
      <c r="T205" s="36">
        <f t="shared" si="242"/>
        <v>0</v>
      </c>
      <c r="U205" s="36">
        <f t="shared" si="242"/>
        <v>0</v>
      </c>
      <c r="V205" s="36">
        <f t="shared" si="242"/>
        <v>0</v>
      </c>
      <c r="W205" s="36">
        <f t="shared" si="242"/>
        <v>0</v>
      </c>
      <c r="X205" s="36">
        <f t="shared" si="242"/>
        <v>0</v>
      </c>
      <c r="Y205" s="36">
        <f t="shared" si="242"/>
        <v>0</v>
      </c>
      <c r="Z205" s="36">
        <f t="shared" si="242"/>
        <v>0</v>
      </c>
      <c r="AA205" s="36">
        <f t="shared" si="242"/>
        <v>0</v>
      </c>
      <c r="AB205" s="36">
        <f t="shared" si="242"/>
        <v>0</v>
      </c>
      <c r="AC205" s="36">
        <f t="shared" si="241"/>
        <v>0</v>
      </c>
    </row>
    <row r="206" spans="1:29" ht="12.75" hidden="1" customHeight="1">
      <c r="A206" s="8" t="s">
        <v>2</v>
      </c>
      <c r="B206" s="8"/>
      <c r="C206" s="8"/>
      <c r="D206" s="8"/>
      <c r="E206" s="8"/>
      <c r="F206" s="12">
        <v>6935</v>
      </c>
      <c r="G206" s="12">
        <f>7326</f>
        <v>7326</v>
      </c>
      <c r="H206" s="12">
        <v>7104</v>
      </c>
      <c r="I206" s="12">
        <v>6704</v>
      </c>
      <c r="J206" s="12">
        <v>6680</v>
      </c>
      <c r="K206" s="12">
        <v>7921</v>
      </c>
      <c r="L206" s="12">
        <v>7840</v>
      </c>
      <c r="M206" s="12">
        <v>8650</v>
      </c>
      <c r="N206" s="12">
        <v>9171</v>
      </c>
      <c r="O206" s="12">
        <v>8525</v>
      </c>
      <c r="P206" s="21">
        <v>8087</v>
      </c>
      <c r="Q206" s="21">
        <v>7745</v>
      </c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</row>
    <row r="207" spans="1:29" ht="12.75" hidden="1" customHeight="1">
      <c r="A207" s="8" t="s">
        <v>3</v>
      </c>
      <c r="B207" s="8"/>
      <c r="C207" s="8"/>
      <c r="D207" s="8"/>
      <c r="E207" s="8"/>
      <c r="F207" s="12">
        <v>6801</v>
      </c>
      <c r="G207" s="12">
        <f>5665+1066</f>
        <v>6731</v>
      </c>
      <c r="H207" s="12">
        <f>5548+744</f>
        <v>6292</v>
      </c>
      <c r="I207" s="12">
        <f>6361+769</f>
        <v>7130</v>
      </c>
      <c r="J207" s="12">
        <v>6955</v>
      </c>
      <c r="K207" s="12">
        <v>6542</v>
      </c>
      <c r="L207" s="12">
        <v>6807</v>
      </c>
      <c r="M207" s="12">
        <v>6724</v>
      </c>
      <c r="N207" s="12">
        <v>6807</v>
      </c>
      <c r="O207" s="12">
        <v>6764</v>
      </c>
      <c r="P207" s="21">
        <v>7166</v>
      </c>
      <c r="Q207" s="21">
        <v>7257</v>
      </c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</row>
    <row r="208" spans="1:29" ht="12.75" hidden="1" customHeight="1">
      <c r="A208" s="8" t="s">
        <v>24</v>
      </c>
      <c r="B208" s="8"/>
      <c r="C208" s="8"/>
      <c r="D208" s="8"/>
      <c r="E208" s="8"/>
      <c r="F208" s="12">
        <v>1406</v>
      </c>
      <c r="G208" s="12">
        <v>1346</v>
      </c>
      <c r="H208" s="12">
        <v>1662</v>
      </c>
      <c r="I208" s="12">
        <v>1378</v>
      </c>
      <c r="J208" s="12">
        <v>1354</v>
      </c>
      <c r="K208" s="12">
        <v>1113</v>
      </c>
      <c r="L208" s="12">
        <v>1121</v>
      </c>
      <c r="M208" s="12">
        <v>1004</v>
      </c>
      <c r="N208" s="12">
        <v>1010</v>
      </c>
      <c r="O208" s="12">
        <v>1072</v>
      </c>
      <c r="P208" s="21">
        <v>1025</v>
      </c>
      <c r="Q208" s="21">
        <v>1177</v>
      </c>
      <c r="R208" s="37">
        <v>0</v>
      </c>
      <c r="S208" s="37">
        <v>0</v>
      </c>
      <c r="T208" s="37">
        <v>0</v>
      </c>
      <c r="U208" s="37">
        <v>0</v>
      </c>
      <c r="V208" s="37">
        <v>0</v>
      </c>
      <c r="W208" s="37">
        <v>0</v>
      </c>
      <c r="X208" s="37">
        <v>0</v>
      </c>
      <c r="Y208" s="37">
        <v>0</v>
      </c>
      <c r="Z208" s="37">
        <v>0</v>
      </c>
      <c r="AA208" s="37">
        <v>0</v>
      </c>
      <c r="AB208" s="37">
        <v>0</v>
      </c>
      <c r="AC208" s="37">
        <v>0</v>
      </c>
    </row>
    <row r="209" spans="1:29" ht="12.75" hidden="1" customHeight="1">
      <c r="A209" s="13"/>
      <c r="B209" s="13"/>
      <c r="C209" s="13"/>
      <c r="D209" s="8"/>
      <c r="E209" s="8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21"/>
      <c r="Q209" s="21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</row>
    <row r="210" spans="1:29" s="5" customFormat="1" ht="12.75" hidden="1" customHeight="1">
      <c r="A210" s="9" t="s">
        <v>22</v>
      </c>
      <c r="B210" s="9"/>
      <c r="C210" s="9"/>
      <c r="D210" s="10"/>
      <c r="E210" s="10"/>
      <c r="F210" s="10">
        <f t="shared" ref="F210:K213" si="243">F195+F200+F205</f>
        <v>33406</v>
      </c>
      <c r="G210" s="10">
        <f t="shared" si="243"/>
        <v>33678</v>
      </c>
      <c r="H210" s="10">
        <f t="shared" si="243"/>
        <v>33567</v>
      </c>
      <c r="I210" s="10">
        <f t="shared" si="243"/>
        <v>33653</v>
      </c>
      <c r="J210" s="10">
        <f t="shared" si="243"/>
        <v>33711</v>
      </c>
      <c r="K210" s="10">
        <f t="shared" si="243"/>
        <v>33736</v>
      </c>
      <c r="L210" s="10">
        <f t="shared" ref="L210:M213" si="244">L195+L200+L205</f>
        <v>34400</v>
      </c>
      <c r="M210" s="10">
        <f t="shared" si="244"/>
        <v>36033</v>
      </c>
      <c r="N210" s="10">
        <f t="shared" ref="N210:O213" si="245">N195+N200+N205</f>
        <v>37109</v>
      </c>
      <c r="O210" s="10">
        <f t="shared" si="245"/>
        <v>36080</v>
      </c>
      <c r="P210" s="9">
        <f t="shared" ref="P210:R213" si="246">P195+P200+P205</f>
        <v>35234</v>
      </c>
      <c r="Q210" s="9">
        <f t="shared" si="246"/>
        <v>34420</v>
      </c>
      <c r="R210" s="36">
        <f t="shared" si="246"/>
        <v>0</v>
      </c>
      <c r="S210" s="36">
        <f t="shared" ref="S210:V213" si="247">S195+S200+S205</f>
        <v>0</v>
      </c>
      <c r="T210" s="36">
        <f t="shared" si="247"/>
        <v>0</v>
      </c>
      <c r="U210" s="36">
        <f t="shared" si="247"/>
        <v>0</v>
      </c>
      <c r="V210" s="35">
        <f t="shared" si="247"/>
        <v>0</v>
      </c>
      <c r="W210" s="35">
        <f>W195+W200+W205</f>
        <v>0</v>
      </c>
      <c r="X210" s="35">
        <f t="shared" ref="X210:Z213" si="248">X195+X200+X205</f>
        <v>0</v>
      </c>
      <c r="Y210" s="35">
        <f t="shared" si="248"/>
        <v>0</v>
      </c>
      <c r="Z210" s="35">
        <f t="shared" si="248"/>
        <v>0</v>
      </c>
      <c r="AA210" s="35">
        <f t="shared" ref="AA210:AC213" si="249">AA195+AA200+AA205</f>
        <v>0</v>
      </c>
      <c r="AB210" s="35">
        <f t="shared" ref="AB210" si="250">AB195+AB200+AB205</f>
        <v>0</v>
      </c>
      <c r="AC210" s="35">
        <f t="shared" si="249"/>
        <v>0</v>
      </c>
    </row>
    <row r="211" spans="1:29" s="5" customFormat="1" ht="12.75" hidden="1" customHeight="1">
      <c r="A211" s="9" t="s">
        <v>2</v>
      </c>
      <c r="B211" s="9"/>
      <c r="C211" s="9"/>
      <c r="D211" s="10"/>
      <c r="E211" s="10"/>
      <c r="F211" s="10">
        <f t="shared" si="243"/>
        <v>15447</v>
      </c>
      <c r="G211" s="10">
        <f t="shared" si="243"/>
        <v>15368</v>
      </c>
      <c r="H211" s="10">
        <f t="shared" si="243"/>
        <v>15384</v>
      </c>
      <c r="I211" s="10">
        <f t="shared" si="243"/>
        <v>15497</v>
      </c>
      <c r="J211" s="10">
        <f t="shared" si="243"/>
        <v>15673</v>
      </c>
      <c r="K211" s="10">
        <f t="shared" si="243"/>
        <v>16638</v>
      </c>
      <c r="L211" s="10">
        <f t="shared" si="244"/>
        <v>17140</v>
      </c>
      <c r="M211" s="10">
        <f t="shared" si="244"/>
        <v>18452</v>
      </c>
      <c r="N211" s="10">
        <f t="shared" si="245"/>
        <v>19638</v>
      </c>
      <c r="O211" s="10">
        <f t="shared" si="245"/>
        <v>18089</v>
      </c>
      <c r="P211" s="9">
        <f t="shared" si="246"/>
        <v>17037</v>
      </c>
      <c r="Q211" s="9">
        <f t="shared" si="246"/>
        <v>16062</v>
      </c>
      <c r="R211" s="36">
        <f t="shared" si="246"/>
        <v>0</v>
      </c>
      <c r="S211" s="36">
        <f t="shared" si="247"/>
        <v>0</v>
      </c>
      <c r="T211" s="36">
        <f t="shared" si="247"/>
        <v>0</v>
      </c>
      <c r="U211" s="36">
        <f t="shared" si="247"/>
        <v>0</v>
      </c>
      <c r="V211" s="35">
        <f t="shared" si="247"/>
        <v>0</v>
      </c>
      <c r="W211" s="35">
        <f>W196+W201+W206</f>
        <v>0</v>
      </c>
      <c r="X211" s="35">
        <f t="shared" si="248"/>
        <v>0</v>
      </c>
      <c r="Y211" s="35">
        <f t="shared" si="248"/>
        <v>0</v>
      </c>
      <c r="Z211" s="35">
        <f t="shared" si="248"/>
        <v>0</v>
      </c>
      <c r="AA211" s="35">
        <f t="shared" si="249"/>
        <v>0</v>
      </c>
      <c r="AB211" s="35">
        <f t="shared" ref="AB211" si="251">AB196+AB201+AB206</f>
        <v>0</v>
      </c>
      <c r="AC211" s="35">
        <f t="shared" si="249"/>
        <v>0</v>
      </c>
    </row>
    <row r="212" spans="1:29" s="5" customFormat="1" ht="12.75" hidden="1" customHeight="1">
      <c r="A212" s="9" t="s">
        <v>3</v>
      </c>
      <c r="B212" s="9"/>
      <c r="C212" s="9"/>
      <c r="D212" s="10"/>
      <c r="E212" s="10"/>
      <c r="F212" s="10">
        <f t="shared" si="243"/>
        <v>14545</v>
      </c>
      <c r="G212" s="10">
        <f t="shared" si="243"/>
        <v>14828</v>
      </c>
      <c r="H212" s="10">
        <f t="shared" si="243"/>
        <v>14347</v>
      </c>
      <c r="I212" s="10">
        <f t="shared" si="243"/>
        <v>14854</v>
      </c>
      <c r="J212" s="10">
        <f t="shared" si="243"/>
        <v>14910</v>
      </c>
      <c r="K212" s="10">
        <f t="shared" si="243"/>
        <v>14201</v>
      </c>
      <c r="L212" s="10">
        <f t="shared" si="244"/>
        <v>14566</v>
      </c>
      <c r="M212" s="10">
        <f t="shared" si="244"/>
        <v>15088</v>
      </c>
      <c r="N212" s="10">
        <f t="shared" si="245"/>
        <v>15015</v>
      </c>
      <c r="O212" s="10">
        <f t="shared" si="245"/>
        <v>15085</v>
      </c>
      <c r="P212" s="9">
        <f t="shared" si="246"/>
        <v>15581</v>
      </c>
      <c r="Q212" s="9">
        <f t="shared" si="246"/>
        <v>15582</v>
      </c>
      <c r="R212" s="36">
        <f t="shared" si="246"/>
        <v>0</v>
      </c>
      <c r="S212" s="36">
        <f t="shared" si="247"/>
        <v>0</v>
      </c>
      <c r="T212" s="36">
        <f t="shared" si="247"/>
        <v>0</v>
      </c>
      <c r="U212" s="36">
        <f t="shared" si="247"/>
        <v>0</v>
      </c>
      <c r="V212" s="35">
        <f t="shared" si="247"/>
        <v>0</v>
      </c>
      <c r="W212" s="35">
        <f>W197+W202+W207</f>
        <v>0</v>
      </c>
      <c r="X212" s="35">
        <f t="shared" si="248"/>
        <v>0</v>
      </c>
      <c r="Y212" s="35">
        <f t="shared" si="248"/>
        <v>0</v>
      </c>
      <c r="Z212" s="35">
        <f t="shared" si="248"/>
        <v>0</v>
      </c>
      <c r="AA212" s="35">
        <f t="shared" si="249"/>
        <v>0</v>
      </c>
      <c r="AB212" s="35">
        <f t="shared" ref="AB212" si="252">AB197+AB202+AB207</f>
        <v>0</v>
      </c>
      <c r="AC212" s="35">
        <f t="shared" si="249"/>
        <v>0</v>
      </c>
    </row>
    <row r="213" spans="1:29" s="5" customFormat="1" ht="12.75" hidden="1" customHeight="1">
      <c r="A213" s="9" t="s">
        <v>24</v>
      </c>
      <c r="B213" s="9"/>
      <c r="C213" s="9"/>
      <c r="D213" s="10"/>
      <c r="E213" s="10"/>
      <c r="F213" s="10">
        <f t="shared" si="243"/>
        <v>3414</v>
      </c>
      <c r="G213" s="10">
        <f t="shared" si="243"/>
        <v>3482</v>
      </c>
      <c r="H213" s="10">
        <f t="shared" si="243"/>
        <v>3836</v>
      </c>
      <c r="I213" s="10">
        <f t="shared" si="243"/>
        <v>3302</v>
      </c>
      <c r="J213" s="10">
        <f t="shared" si="243"/>
        <v>3128</v>
      </c>
      <c r="K213" s="10">
        <f t="shared" si="243"/>
        <v>2897</v>
      </c>
      <c r="L213" s="10">
        <f t="shared" si="244"/>
        <v>2694</v>
      </c>
      <c r="M213" s="10">
        <f t="shared" si="244"/>
        <v>2493</v>
      </c>
      <c r="N213" s="10">
        <f t="shared" si="245"/>
        <v>2456</v>
      </c>
      <c r="O213" s="10">
        <f t="shared" si="245"/>
        <v>2906</v>
      </c>
      <c r="P213" s="9">
        <f t="shared" si="246"/>
        <v>2616</v>
      </c>
      <c r="Q213" s="9">
        <f t="shared" si="246"/>
        <v>2776</v>
      </c>
      <c r="R213" s="36">
        <f t="shared" si="246"/>
        <v>0</v>
      </c>
      <c r="S213" s="36">
        <f t="shared" si="247"/>
        <v>0</v>
      </c>
      <c r="T213" s="36">
        <f t="shared" si="247"/>
        <v>0</v>
      </c>
      <c r="U213" s="36">
        <f t="shared" si="247"/>
        <v>0</v>
      </c>
      <c r="V213" s="35">
        <f t="shared" si="247"/>
        <v>0</v>
      </c>
      <c r="W213" s="35">
        <f>W198+W203+W208</f>
        <v>0</v>
      </c>
      <c r="X213" s="35">
        <f t="shared" si="248"/>
        <v>0</v>
      </c>
      <c r="Y213" s="35">
        <f t="shared" si="248"/>
        <v>0</v>
      </c>
      <c r="Z213" s="35">
        <f t="shared" si="248"/>
        <v>0</v>
      </c>
      <c r="AA213" s="35">
        <f t="shared" si="249"/>
        <v>0</v>
      </c>
      <c r="AB213" s="35">
        <f t="shared" ref="AB213" si="253">AB198+AB203+AB208</f>
        <v>0</v>
      </c>
      <c r="AC213" s="35">
        <f t="shared" si="249"/>
        <v>0</v>
      </c>
    </row>
    <row r="214" spans="1:29" s="6" customFormat="1" ht="12.75" hidden="1" customHeight="1">
      <c r="A214" s="15"/>
      <c r="B214" s="15"/>
      <c r="C214" s="15"/>
      <c r="D214" s="11"/>
      <c r="E214" s="11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9"/>
      <c r="Q214" s="9"/>
      <c r="R214" s="36"/>
      <c r="S214" s="36"/>
      <c r="T214" s="36"/>
      <c r="U214" s="36"/>
      <c r="V214" s="35"/>
      <c r="W214" s="35"/>
      <c r="X214" s="35"/>
      <c r="Y214" s="35"/>
      <c r="Z214" s="35"/>
      <c r="AA214" s="35"/>
      <c r="AB214" s="35"/>
      <c r="AC214" s="35"/>
    </row>
    <row r="215" spans="1:29" s="5" customFormat="1" ht="12.75" customHeight="1" thickBot="1">
      <c r="A215" s="38" t="s">
        <v>14</v>
      </c>
      <c r="B215" s="38"/>
      <c r="C215" s="38"/>
      <c r="D215" s="39"/>
      <c r="E215" s="39"/>
      <c r="F215" s="39" t="s">
        <v>15</v>
      </c>
      <c r="G215" s="39" t="s">
        <v>16</v>
      </c>
      <c r="H215" s="39" t="s">
        <v>17</v>
      </c>
      <c r="I215" s="39" t="s">
        <v>18</v>
      </c>
      <c r="J215" s="39" t="s">
        <v>23</v>
      </c>
      <c r="K215" s="39" t="s">
        <v>25</v>
      </c>
      <c r="L215" s="39" t="s">
        <v>26</v>
      </c>
      <c r="M215" s="39" t="s">
        <v>40</v>
      </c>
      <c r="N215" s="39" t="s">
        <v>46</v>
      </c>
      <c r="O215" s="39" t="s">
        <v>47</v>
      </c>
      <c r="P215" s="39" t="s">
        <v>48</v>
      </c>
      <c r="Q215" s="39" t="s">
        <v>52</v>
      </c>
      <c r="R215" s="40" t="s">
        <v>55</v>
      </c>
      <c r="S215" s="40" t="s">
        <v>57</v>
      </c>
      <c r="T215" s="40" t="s">
        <v>60</v>
      </c>
      <c r="U215" s="40" t="s">
        <v>63</v>
      </c>
      <c r="V215" s="40" t="s">
        <v>65</v>
      </c>
      <c r="W215" s="40" t="s">
        <v>67</v>
      </c>
      <c r="X215" s="40" t="s">
        <v>69</v>
      </c>
      <c r="Y215" s="40" t="s">
        <v>71</v>
      </c>
      <c r="Z215" s="40" t="s">
        <v>74</v>
      </c>
      <c r="AA215" s="40" t="s">
        <v>79</v>
      </c>
      <c r="AB215" s="40" t="s">
        <v>87</v>
      </c>
      <c r="AC215" s="40" t="s">
        <v>116</v>
      </c>
    </row>
    <row r="216" spans="1:29" s="5" customFormat="1" ht="12.75" customHeight="1">
      <c r="A216" s="23" t="s">
        <v>56</v>
      </c>
      <c r="B216" s="10"/>
      <c r="C216" s="10"/>
      <c r="D216" s="10"/>
      <c r="E216" s="10"/>
      <c r="F216" s="10">
        <f t="shared" ref="F216:P216" si="254">F217+F222+F227</f>
        <v>0</v>
      </c>
      <c r="G216" s="10">
        <f t="shared" si="254"/>
        <v>0</v>
      </c>
      <c r="H216" s="10">
        <f t="shared" si="254"/>
        <v>0</v>
      </c>
      <c r="I216" s="10">
        <f t="shared" si="254"/>
        <v>0</v>
      </c>
      <c r="J216" s="10">
        <f t="shared" si="254"/>
        <v>0</v>
      </c>
      <c r="K216" s="10">
        <f t="shared" si="254"/>
        <v>0</v>
      </c>
      <c r="L216" s="10">
        <f t="shared" si="254"/>
        <v>0</v>
      </c>
      <c r="M216" s="10">
        <f t="shared" si="254"/>
        <v>0</v>
      </c>
      <c r="N216" s="10">
        <f t="shared" si="254"/>
        <v>0</v>
      </c>
      <c r="O216" s="10">
        <f t="shared" si="254"/>
        <v>0</v>
      </c>
      <c r="P216" s="9">
        <f t="shared" si="254"/>
        <v>0</v>
      </c>
      <c r="Q216" s="9">
        <f t="shared" ref="Q216:AC216" si="255">Q217+Q222+Q227</f>
        <v>0</v>
      </c>
      <c r="R216" s="9">
        <f t="shared" si="255"/>
        <v>72802</v>
      </c>
      <c r="S216" s="9">
        <f t="shared" si="255"/>
        <v>71545</v>
      </c>
      <c r="T216" s="9">
        <f t="shared" si="255"/>
        <v>73131</v>
      </c>
      <c r="U216" s="9">
        <f t="shared" si="255"/>
        <v>78111</v>
      </c>
      <c r="V216" s="10">
        <f t="shared" ref="V216:AB216" si="256">V217+V222+V227</f>
        <v>85060</v>
      </c>
      <c r="W216" s="10">
        <f t="shared" si="256"/>
        <v>89590</v>
      </c>
      <c r="X216" s="10">
        <f t="shared" si="256"/>
        <v>96577</v>
      </c>
      <c r="Y216" s="10">
        <f t="shared" si="256"/>
        <v>103452</v>
      </c>
      <c r="Z216" s="10">
        <f t="shared" si="256"/>
        <v>110889</v>
      </c>
      <c r="AA216" s="10">
        <f t="shared" si="256"/>
        <v>116937.60000000001</v>
      </c>
      <c r="AB216" s="10">
        <f t="shared" si="256"/>
        <v>118942.06999999999</v>
      </c>
      <c r="AC216" s="10">
        <f t="shared" si="255"/>
        <v>112175.01999999999</v>
      </c>
    </row>
    <row r="217" spans="1:29" s="5" customFormat="1" ht="12.75" customHeight="1">
      <c r="A217" s="10" t="s">
        <v>19</v>
      </c>
      <c r="B217" s="10"/>
      <c r="C217" s="10"/>
      <c r="D217" s="10"/>
      <c r="E217" s="10"/>
      <c r="F217" s="10">
        <f t="shared" ref="F217:P217" si="257">F218+F219+F220</f>
        <v>0</v>
      </c>
      <c r="G217" s="10">
        <f t="shared" si="257"/>
        <v>0</v>
      </c>
      <c r="H217" s="10">
        <f t="shared" si="257"/>
        <v>0</v>
      </c>
      <c r="I217" s="10">
        <f t="shared" si="257"/>
        <v>0</v>
      </c>
      <c r="J217" s="10">
        <f t="shared" si="257"/>
        <v>0</v>
      </c>
      <c r="K217" s="10">
        <f t="shared" si="257"/>
        <v>0</v>
      </c>
      <c r="L217" s="10">
        <f t="shared" si="257"/>
        <v>0</v>
      </c>
      <c r="M217" s="10">
        <f t="shared" si="257"/>
        <v>0</v>
      </c>
      <c r="N217" s="10">
        <f t="shared" si="257"/>
        <v>0</v>
      </c>
      <c r="O217" s="10">
        <f t="shared" si="257"/>
        <v>0</v>
      </c>
      <c r="P217" s="9">
        <f t="shared" si="257"/>
        <v>0</v>
      </c>
      <c r="Q217" s="9">
        <f t="shared" ref="Q217:AC217" si="258">Q218+Q219+Q220</f>
        <v>0</v>
      </c>
      <c r="R217" s="9">
        <f t="shared" si="258"/>
        <v>6320</v>
      </c>
      <c r="S217" s="9">
        <f t="shared" si="258"/>
        <v>6535</v>
      </c>
      <c r="T217" s="9">
        <f t="shared" si="258"/>
        <v>5806</v>
      </c>
      <c r="U217" s="9">
        <f t="shared" si="258"/>
        <v>6332</v>
      </c>
      <c r="V217" s="9">
        <f t="shared" ref="V217:AB217" si="259">V218+V219+V220</f>
        <v>7123</v>
      </c>
      <c r="W217" s="10">
        <f t="shared" si="259"/>
        <v>8345</v>
      </c>
      <c r="X217" s="10">
        <f t="shared" si="259"/>
        <v>7552</v>
      </c>
      <c r="Y217" s="10">
        <f t="shared" si="259"/>
        <v>8124</v>
      </c>
      <c r="Z217" s="10">
        <f t="shared" si="259"/>
        <v>8276</v>
      </c>
      <c r="AA217" s="10">
        <f t="shared" si="259"/>
        <v>8921.33</v>
      </c>
      <c r="AB217" s="10">
        <f t="shared" si="259"/>
        <v>9283.7000000000007</v>
      </c>
      <c r="AC217" s="10">
        <f t="shared" si="258"/>
        <v>8338.61</v>
      </c>
    </row>
    <row r="218" spans="1:29" ht="12.75" customHeight="1">
      <c r="A218" s="8" t="s">
        <v>2</v>
      </c>
      <c r="B218" s="8"/>
      <c r="C218" s="8"/>
      <c r="D218" s="8"/>
      <c r="E218" s="8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21"/>
      <c r="Q218" s="21"/>
      <c r="R218" s="21">
        <f>688+396</f>
        <v>1084</v>
      </c>
      <c r="S218" s="21">
        <v>1432</v>
      </c>
      <c r="T218" s="21">
        <v>1262</v>
      </c>
      <c r="U218" s="21">
        <v>1210</v>
      </c>
      <c r="V218" s="21">
        <v>978</v>
      </c>
      <c r="W218" s="19">
        <v>1610</v>
      </c>
      <c r="X218" s="19">
        <v>1152</v>
      </c>
      <c r="Y218" s="19">
        <v>1170</v>
      </c>
      <c r="Z218" s="19">
        <v>1477</v>
      </c>
      <c r="AA218" s="19">
        <v>1636</v>
      </c>
      <c r="AB218" s="19">
        <v>1880</v>
      </c>
      <c r="AC218" s="19">
        <v>1282</v>
      </c>
    </row>
    <row r="219" spans="1:29" ht="12.75" customHeight="1">
      <c r="A219" s="8" t="s">
        <v>3</v>
      </c>
      <c r="B219" s="8"/>
      <c r="C219" s="8"/>
      <c r="D219" s="8"/>
      <c r="E219" s="8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21"/>
      <c r="Q219" s="21"/>
      <c r="R219" s="21">
        <f>2112+1204</f>
        <v>3316</v>
      </c>
      <c r="S219" s="21">
        <v>2817</v>
      </c>
      <c r="T219" s="21">
        <v>2966</v>
      </c>
      <c r="U219" s="21">
        <v>2537</v>
      </c>
      <c r="V219" s="21">
        <v>3386</v>
      </c>
      <c r="W219" s="20">
        <v>3597</v>
      </c>
      <c r="X219" s="20">
        <v>3273</v>
      </c>
      <c r="Y219" s="20">
        <v>3321</v>
      </c>
      <c r="Z219" s="20">
        <v>3364</v>
      </c>
      <c r="AA219" s="20">
        <v>3927</v>
      </c>
      <c r="AB219" s="20">
        <v>4076</v>
      </c>
      <c r="AC219" s="20">
        <v>3833</v>
      </c>
    </row>
    <row r="220" spans="1:29" ht="12.75" customHeight="1">
      <c r="A220" s="8" t="s">
        <v>24</v>
      </c>
      <c r="B220" s="8"/>
      <c r="C220" s="8"/>
      <c r="D220" s="8"/>
      <c r="E220" s="8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21"/>
      <c r="Q220" s="21"/>
      <c r="R220" s="21">
        <f>1464+456</f>
        <v>1920</v>
      </c>
      <c r="S220" s="21">
        <v>2286</v>
      </c>
      <c r="T220" s="21">
        <v>1578</v>
      </c>
      <c r="U220" s="21">
        <v>2585</v>
      </c>
      <c r="V220" s="21">
        <v>2759</v>
      </c>
      <c r="W220" s="20">
        <v>3138</v>
      </c>
      <c r="X220" s="20">
        <v>3127</v>
      </c>
      <c r="Y220" s="20">
        <v>3633</v>
      </c>
      <c r="Z220" s="20">
        <v>3435</v>
      </c>
      <c r="AA220" s="20">
        <v>3358.33</v>
      </c>
      <c r="AB220" s="20">
        <v>3327.7</v>
      </c>
      <c r="AC220" s="20">
        <v>3223.61</v>
      </c>
    </row>
    <row r="221" spans="1:29" ht="12.75" customHeight="1">
      <c r="A221" s="13"/>
      <c r="B221" s="13"/>
      <c r="C221" s="13"/>
      <c r="D221" s="8"/>
      <c r="E221" s="8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</row>
    <row r="222" spans="1:29" s="5" customFormat="1" ht="12.75" customHeight="1">
      <c r="A222" s="10" t="s">
        <v>20</v>
      </c>
      <c r="B222" s="10"/>
      <c r="C222" s="10"/>
      <c r="D222" s="10"/>
      <c r="E222" s="10"/>
      <c r="F222" s="10">
        <f t="shared" ref="F222:P222" si="260">F223+F224+F225</f>
        <v>0</v>
      </c>
      <c r="G222" s="10">
        <f t="shared" si="260"/>
        <v>0</v>
      </c>
      <c r="H222" s="10">
        <f t="shared" si="260"/>
        <v>0</v>
      </c>
      <c r="I222" s="10">
        <f t="shared" si="260"/>
        <v>0</v>
      </c>
      <c r="J222" s="10">
        <f t="shared" si="260"/>
        <v>0</v>
      </c>
      <c r="K222" s="10">
        <f t="shared" si="260"/>
        <v>0</v>
      </c>
      <c r="L222" s="10">
        <f t="shared" si="260"/>
        <v>0</v>
      </c>
      <c r="M222" s="10">
        <f t="shared" si="260"/>
        <v>0</v>
      </c>
      <c r="N222" s="10">
        <f t="shared" si="260"/>
        <v>0</v>
      </c>
      <c r="O222" s="10">
        <f t="shared" si="260"/>
        <v>0</v>
      </c>
      <c r="P222" s="9">
        <f t="shared" si="260"/>
        <v>0</v>
      </c>
      <c r="Q222" s="9">
        <f t="shared" ref="Q222:AC222" si="261">Q223+Q224+Q225</f>
        <v>0</v>
      </c>
      <c r="R222" s="9">
        <f t="shared" si="261"/>
        <v>32712</v>
      </c>
      <c r="S222" s="9">
        <f t="shared" si="261"/>
        <v>32642</v>
      </c>
      <c r="T222" s="9">
        <f t="shared" si="261"/>
        <v>33390</v>
      </c>
      <c r="U222" s="9">
        <f t="shared" si="261"/>
        <v>35811</v>
      </c>
      <c r="V222" s="9">
        <f t="shared" ref="V222:AB222" si="262">V223+V224+V225</f>
        <v>38855</v>
      </c>
      <c r="W222" s="10">
        <f t="shared" si="262"/>
        <v>40670</v>
      </c>
      <c r="X222" s="10">
        <f t="shared" si="262"/>
        <v>44123</v>
      </c>
      <c r="Y222" s="10">
        <f t="shared" si="262"/>
        <v>47417</v>
      </c>
      <c r="Z222" s="10">
        <f t="shared" si="262"/>
        <v>50760</v>
      </c>
      <c r="AA222" s="10">
        <f t="shared" si="262"/>
        <v>54473.95</v>
      </c>
      <c r="AB222" s="10">
        <f t="shared" si="262"/>
        <v>54957.259999999995</v>
      </c>
      <c r="AC222" s="10">
        <f t="shared" si="261"/>
        <v>51321.4</v>
      </c>
    </row>
    <row r="223" spans="1:29" ht="12.75" customHeight="1">
      <c r="A223" s="8" t="s">
        <v>2</v>
      </c>
      <c r="B223" s="8"/>
      <c r="C223" s="8"/>
      <c r="D223" s="8"/>
      <c r="E223" s="8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21"/>
      <c r="Q223" s="21"/>
      <c r="R223" s="21">
        <v>14095</v>
      </c>
      <c r="S223" s="21">
        <v>15205</v>
      </c>
      <c r="T223" s="21">
        <v>15457</v>
      </c>
      <c r="U223" s="21">
        <v>17103</v>
      </c>
      <c r="V223" s="21">
        <v>18625</v>
      </c>
      <c r="W223" s="19">
        <v>19250</v>
      </c>
      <c r="X223" s="19">
        <v>21038</v>
      </c>
      <c r="Y223" s="19">
        <v>23607</v>
      </c>
      <c r="Z223" s="19">
        <v>24567</v>
      </c>
      <c r="AA223" s="19">
        <v>26149.439999999999</v>
      </c>
      <c r="AB223" s="19">
        <v>25739.79</v>
      </c>
      <c r="AC223" s="19">
        <v>23278.44</v>
      </c>
    </row>
    <row r="224" spans="1:29" ht="12.75" customHeight="1">
      <c r="A224" s="8" t="s">
        <v>3</v>
      </c>
      <c r="B224" s="8"/>
      <c r="C224" s="8"/>
      <c r="D224" s="8"/>
      <c r="E224" s="8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21"/>
      <c r="Q224" s="21"/>
      <c r="R224" s="21">
        <v>14761</v>
      </c>
      <c r="S224" s="21">
        <v>14262</v>
      </c>
      <c r="T224" s="21">
        <v>13722</v>
      </c>
      <c r="U224" s="21">
        <v>14647</v>
      </c>
      <c r="V224" s="21">
        <v>15302</v>
      </c>
      <c r="W224" s="20">
        <v>16497</v>
      </c>
      <c r="X224" s="20">
        <v>17588</v>
      </c>
      <c r="Y224" s="20">
        <v>18604</v>
      </c>
      <c r="Z224" s="20">
        <v>21013</v>
      </c>
      <c r="AA224" s="20">
        <v>22514.95</v>
      </c>
      <c r="AB224" s="20">
        <v>23974.66</v>
      </c>
      <c r="AC224" s="20">
        <v>23064.09</v>
      </c>
    </row>
    <row r="225" spans="1:29" ht="12.75" customHeight="1">
      <c r="A225" s="8" t="s">
        <v>24</v>
      </c>
      <c r="B225" s="8"/>
      <c r="C225" s="8"/>
      <c r="D225" s="8"/>
      <c r="E225" s="8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21"/>
      <c r="Q225" s="21"/>
      <c r="R225" s="21">
        <v>3856</v>
      </c>
      <c r="S225" s="21">
        <v>3175</v>
      </c>
      <c r="T225" s="21">
        <v>4211</v>
      </c>
      <c r="U225" s="21">
        <v>4061</v>
      </c>
      <c r="V225" s="21">
        <v>4928</v>
      </c>
      <c r="W225" s="20">
        <v>4923</v>
      </c>
      <c r="X225" s="20">
        <v>5497</v>
      </c>
      <c r="Y225" s="20">
        <v>5206</v>
      </c>
      <c r="Z225" s="20">
        <v>5180</v>
      </c>
      <c r="AA225" s="20">
        <v>5809.56</v>
      </c>
      <c r="AB225" s="20">
        <v>5242.8100000000004</v>
      </c>
      <c r="AC225" s="20">
        <v>4978.87</v>
      </c>
    </row>
    <row r="226" spans="1:29" ht="12.75" customHeight="1">
      <c r="A226" s="13"/>
      <c r="B226" s="13"/>
      <c r="C226" s="13"/>
      <c r="D226" s="8"/>
      <c r="E226" s="8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21"/>
      <c r="Q226" s="21"/>
      <c r="R226" s="21"/>
      <c r="S226" s="21"/>
      <c r="T226" s="21"/>
      <c r="U226" s="21"/>
      <c r="V226" s="21"/>
      <c r="W226" s="12"/>
      <c r="X226" s="12"/>
      <c r="Y226" s="12"/>
      <c r="Z226" s="12"/>
      <c r="AA226" s="12"/>
      <c r="AB226" s="12"/>
      <c r="AC226" s="12"/>
    </row>
    <row r="227" spans="1:29" s="5" customFormat="1" ht="12.75" customHeight="1">
      <c r="A227" s="10" t="s">
        <v>21</v>
      </c>
      <c r="B227" s="10"/>
      <c r="C227" s="10"/>
      <c r="D227" s="10"/>
      <c r="E227" s="10"/>
      <c r="F227" s="10">
        <f t="shared" ref="F227:P227" si="263">F228+F229+F230</f>
        <v>0</v>
      </c>
      <c r="G227" s="10">
        <f t="shared" si="263"/>
        <v>0</v>
      </c>
      <c r="H227" s="10">
        <f t="shared" si="263"/>
        <v>0</v>
      </c>
      <c r="I227" s="10">
        <f t="shared" si="263"/>
        <v>0</v>
      </c>
      <c r="J227" s="10">
        <f t="shared" si="263"/>
        <v>0</v>
      </c>
      <c r="K227" s="10">
        <f t="shared" si="263"/>
        <v>0</v>
      </c>
      <c r="L227" s="10">
        <f t="shared" si="263"/>
        <v>0</v>
      </c>
      <c r="M227" s="10">
        <f t="shared" si="263"/>
        <v>0</v>
      </c>
      <c r="N227" s="10">
        <f t="shared" si="263"/>
        <v>0</v>
      </c>
      <c r="O227" s="10">
        <f t="shared" si="263"/>
        <v>0</v>
      </c>
      <c r="P227" s="9">
        <f t="shared" si="263"/>
        <v>0</v>
      </c>
      <c r="Q227" s="9">
        <f t="shared" ref="Q227:AC227" si="264">Q228+Q229+Q230</f>
        <v>0</v>
      </c>
      <c r="R227" s="9">
        <f t="shared" si="264"/>
        <v>33770</v>
      </c>
      <c r="S227" s="9">
        <f t="shared" si="264"/>
        <v>32368</v>
      </c>
      <c r="T227" s="9">
        <f t="shared" si="264"/>
        <v>33935</v>
      </c>
      <c r="U227" s="9">
        <f t="shared" si="264"/>
        <v>35968</v>
      </c>
      <c r="V227" s="9">
        <f t="shared" ref="V227:AB227" si="265">V228+V229+V230</f>
        <v>39082</v>
      </c>
      <c r="W227" s="10">
        <f t="shared" si="265"/>
        <v>40575</v>
      </c>
      <c r="X227" s="10">
        <f t="shared" si="265"/>
        <v>44902</v>
      </c>
      <c r="Y227" s="10">
        <f t="shared" si="265"/>
        <v>47911</v>
      </c>
      <c r="Z227" s="10">
        <f t="shared" si="265"/>
        <v>51853</v>
      </c>
      <c r="AA227" s="10">
        <f t="shared" si="265"/>
        <v>53542.32</v>
      </c>
      <c r="AB227" s="10">
        <f t="shared" si="265"/>
        <v>54701.11</v>
      </c>
      <c r="AC227" s="10">
        <f t="shared" si="264"/>
        <v>52515.009999999995</v>
      </c>
    </row>
    <row r="228" spans="1:29" ht="12.75" customHeight="1">
      <c r="A228" s="8" t="s">
        <v>2</v>
      </c>
      <c r="B228" s="8"/>
      <c r="C228" s="8"/>
      <c r="D228" s="8"/>
      <c r="E228" s="8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21"/>
      <c r="Q228" s="21"/>
      <c r="R228" s="21">
        <v>14089</v>
      </c>
      <c r="S228" s="21">
        <v>13730</v>
      </c>
      <c r="T228" s="21">
        <v>14570</v>
      </c>
      <c r="U228" s="21">
        <v>15921</v>
      </c>
      <c r="V228" s="21">
        <v>17860</v>
      </c>
      <c r="W228" s="19">
        <v>18323</v>
      </c>
      <c r="X228" s="19">
        <v>20099</v>
      </c>
      <c r="Y228" s="19">
        <v>22200</v>
      </c>
      <c r="Z228" s="19">
        <v>23558</v>
      </c>
      <c r="AA228" s="19">
        <v>23199.38</v>
      </c>
      <c r="AB228" s="19">
        <v>23666.5</v>
      </c>
      <c r="AC228" s="19">
        <v>21979.1</v>
      </c>
    </row>
    <row r="229" spans="1:29" ht="12.75" customHeight="1">
      <c r="A229" s="8" t="s">
        <v>3</v>
      </c>
      <c r="B229" s="8"/>
      <c r="C229" s="8"/>
      <c r="D229" s="8"/>
      <c r="E229" s="8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21"/>
      <c r="Q229" s="21"/>
      <c r="R229" s="21">
        <v>15955</v>
      </c>
      <c r="S229" s="21">
        <v>15215</v>
      </c>
      <c r="T229" s="21">
        <v>15203</v>
      </c>
      <c r="U229" s="21">
        <v>15656</v>
      </c>
      <c r="V229" s="21">
        <v>16283</v>
      </c>
      <c r="W229" s="20">
        <v>17263</v>
      </c>
      <c r="X229" s="20">
        <v>19053</v>
      </c>
      <c r="Y229" s="20">
        <v>20462</v>
      </c>
      <c r="Z229" s="20">
        <v>22740</v>
      </c>
      <c r="AA229" s="20">
        <v>24603.98</v>
      </c>
      <c r="AB229" s="20">
        <v>25189.439999999999</v>
      </c>
      <c r="AC229" s="20">
        <v>25924.240000000002</v>
      </c>
    </row>
    <row r="230" spans="1:29" ht="12.75" customHeight="1">
      <c r="A230" s="8" t="s">
        <v>24</v>
      </c>
      <c r="B230" s="8"/>
      <c r="C230" s="8"/>
      <c r="D230" s="8"/>
      <c r="E230" s="8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21"/>
      <c r="Q230" s="21"/>
      <c r="R230" s="21">
        <v>3726</v>
      </c>
      <c r="S230" s="21">
        <v>3423</v>
      </c>
      <c r="T230" s="21">
        <v>4162</v>
      </c>
      <c r="U230" s="21">
        <v>4391</v>
      </c>
      <c r="V230" s="21">
        <v>4939</v>
      </c>
      <c r="W230" s="20">
        <v>4989</v>
      </c>
      <c r="X230" s="20">
        <v>5750</v>
      </c>
      <c r="Y230" s="20">
        <v>5249</v>
      </c>
      <c r="Z230" s="20">
        <v>5555</v>
      </c>
      <c r="AA230" s="20">
        <v>5738.96</v>
      </c>
      <c r="AB230" s="20">
        <v>5845.17</v>
      </c>
      <c r="AC230" s="20">
        <v>4611.67</v>
      </c>
    </row>
    <row r="231" spans="1:29" ht="12.75" customHeight="1">
      <c r="A231" s="13"/>
      <c r="B231" s="13"/>
      <c r="C231" s="13"/>
      <c r="D231" s="8"/>
      <c r="E231" s="8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21"/>
      <c r="Q231" s="21"/>
      <c r="R231" s="21"/>
      <c r="S231" s="21"/>
      <c r="T231" s="21"/>
      <c r="U231" s="21"/>
      <c r="V231" s="21"/>
      <c r="W231" s="12"/>
      <c r="X231" s="12"/>
      <c r="Y231" s="12"/>
      <c r="Z231" s="12"/>
      <c r="AA231" s="12"/>
      <c r="AB231" s="12"/>
      <c r="AC231" s="12"/>
    </row>
    <row r="232" spans="1:29" s="5" customFormat="1" ht="12.75" customHeight="1">
      <c r="A232" s="9" t="s">
        <v>22</v>
      </c>
      <c r="B232" s="9"/>
      <c r="C232" s="9"/>
      <c r="D232" s="10"/>
      <c r="E232" s="10"/>
      <c r="F232" s="10">
        <f t="shared" ref="F232:R232" si="266">F217+F222+F227</f>
        <v>0</v>
      </c>
      <c r="G232" s="10">
        <f t="shared" si="266"/>
        <v>0</v>
      </c>
      <c r="H232" s="10">
        <f t="shared" si="266"/>
        <v>0</v>
      </c>
      <c r="I232" s="10">
        <f t="shared" si="266"/>
        <v>0</v>
      </c>
      <c r="J232" s="10">
        <f t="shared" si="266"/>
        <v>0</v>
      </c>
      <c r="K232" s="10">
        <f t="shared" si="266"/>
        <v>0</v>
      </c>
      <c r="L232" s="10">
        <f t="shared" si="266"/>
        <v>0</v>
      </c>
      <c r="M232" s="10">
        <f t="shared" si="266"/>
        <v>0</v>
      </c>
      <c r="N232" s="10">
        <f t="shared" si="266"/>
        <v>0</v>
      </c>
      <c r="O232" s="10">
        <f t="shared" si="266"/>
        <v>0</v>
      </c>
      <c r="P232" s="9">
        <f t="shared" si="266"/>
        <v>0</v>
      </c>
      <c r="Q232" s="9">
        <f t="shared" si="266"/>
        <v>0</v>
      </c>
      <c r="R232" s="9">
        <f t="shared" si="266"/>
        <v>72802</v>
      </c>
      <c r="S232" s="9">
        <f>S217+S222+S227</f>
        <v>71545</v>
      </c>
      <c r="T232" s="9">
        <f t="shared" ref="T232:V235" si="267">T217+T222+T227</f>
        <v>73131</v>
      </c>
      <c r="U232" s="9">
        <f t="shared" si="267"/>
        <v>78111</v>
      </c>
      <c r="V232" s="10">
        <f t="shared" si="267"/>
        <v>85060</v>
      </c>
      <c r="W232" s="10">
        <f>W217+W222+W227</f>
        <v>89590</v>
      </c>
      <c r="X232" s="10">
        <f t="shared" ref="X232:Z235" si="268">X217+X222+X227</f>
        <v>96577</v>
      </c>
      <c r="Y232" s="10">
        <f t="shared" si="268"/>
        <v>103452</v>
      </c>
      <c r="Z232" s="10">
        <f t="shared" si="268"/>
        <v>110889</v>
      </c>
      <c r="AA232" s="10">
        <f t="shared" ref="AA232:AC235" si="269">AA217+AA222+AA227</f>
        <v>116937.60000000001</v>
      </c>
      <c r="AB232" s="10">
        <f t="shared" ref="AB232" si="270">AB217+AB222+AB227</f>
        <v>118942.06999999999</v>
      </c>
      <c r="AC232" s="10">
        <f t="shared" si="269"/>
        <v>112175.01999999999</v>
      </c>
    </row>
    <row r="233" spans="1:29" s="5" customFormat="1" ht="12.75" customHeight="1">
      <c r="A233" s="9" t="s">
        <v>2</v>
      </c>
      <c r="B233" s="9"/>
      <c r="C233" s="9"/>
      <c r="D233" s="10"/>
      <c r="E233" s="10"/>
      <c r="F233" s="10">
        <f t="shared" ref="F233:R233" si="271">F218+F223+F228</f>
        <v>0</v>
      </c>
      <c r="G233" s="10">
        <f t="shared" si="271"/>
        <v>0</v>
      </c>
      <c r="H233" s="10">
        <f t="shared" si="271"/>
        <v>0</v>
      </c>
      <c r="I233" s="10">
        <f t="shared" si="271"/>
        <v>0</v>
      </c>
      <c r="J233" s="10">
        <f t="shared" si="271"/>
        <v>0</v>
      </c>
      <c r="K233" s="10">
        <f t="shared" si="271"/>
        <v>0</v>
      </c>
      <c r="L233" s="10">
        <f t="shared" si="271"/>
        <v>0</v>
      </c>
      <c r="M233" s="10">
        <f t="shared" si="271"/>
        <v>0</v>
      </c>
      <c r="N233" s="10">
        <f t="shared" si="271"/>
        <v>0</v>
      </c>
      <c r="O233" s="10">
        <f t="shared" si="271"/>
        <v>0</v>
      </c>
      <c r="P233" s="9">
        <f t="shared" si="271"/>
        <v>0</v>
      </c>
      <c r="Q233" s="9">
        <f t="shared" si="271"/>
        <v>0</v>
      </c>
      <c r="R233" s="9">
        <f t="shared" si="271"/>
        <v>29268</v>
      </c>
      <c r="S233" s="9">
        <f>S218+S223+S228</f>
        <v>30367</v>
      </c>
      <c r="T233" s="9">
        <f t="shared" si="267"/>
        <v>31289</v>
      </c>
      <c r="U233" s="9">
        <f t="shared" si="267"/>
        <v>34234</v>
      </c>
      <c r="V233" s="10">
        <f t="shared" si="267"/>
        <v>37463</v>
      </c>
      <c r="W233" s="10">
        <f>W218+W223+W228</f>
        <v>39183</v>
      </c>
      <c r="X233" s="10">
        <f t="shared" si="268"/>
        <v>42289</v>
      </c>
      <c r="Y233" s="10">
        <f t="shared" si="268"/>
        <v>46977</v>
      </c>
      <c r="Z233" s="10">
        <f t="shared" si="268"/>
        <v>49602</v>
      </c>
      <c r="AA233" s="10">
        <f t="shared" si="269"/>
        <v>50984.82</v>
      </c>
      <c r="AB233" s="10">
        <f t="shared" ref="AB233" si="272">AB218+AB223+AB228</f>
        <v>51286.29</v>
      </c>
      <c r="AC233" s="10">
        <f t="shared" si="269"/>
        <v>46539.539999999994</v>
      </c>
    </row>
    <row r="234" spans="1:29" s="5" customFormat="1" ht="12.75" customHeight="1">
      <c r="A234" s="9" t="s">
        <v>3</v>
      </c>
      <c r="B234" s="9"/>
      <c r="C234" s="9"/>
      <c r="D234" s="10"/>
      <c r="E234" s="10"/>
      <c r="F234" s="10">
        <f t="shared" ref="F234:R234" si="273">F219+F224+F229</f>
        <v>0</v>
      </c>
      <c r="G234" s="10">
        <f t="shared" si="273"/>
        <v>0</v>
      </c>
      <c r="H234" s="10">
        <f t="shared" si="273"/>
        <v>0</v>
      </c>
      <c r="I234" s="10">
        <f t="shared" si="273"/>
        <v>0</v>
      </c>
      <c r="J234" s="10">
        <f t="shared" si="273"/>
        <v>0</v>
      </c>
      <c r="K234" s="10">
        <f t="shared" si="273"/>
        <v>0</v>
      </c>
      <c r="L234" s="10">
        <f t="shared" si="273"/>
        <v>0</v>
      </c>
      <c r="M234" s="10">
        <f t="shared" si="273"/>
        <v>0</v>
      </c>
      <c r="N234" s="10">
        <f t="shared" si="273"/>
        <v>0</v>
      </c>
      <c r="O234" s="10">
        <f t="shared" si="273"/>
        <v>0</v>
      </c>
      <c r="P234" s="9">
        <f t="shared" si="273"/>
        <v>0</v>
      </c>
      <c r="Q234" s="9">
        <f t="shared" si="273"/>
        <v>0</v>
      </c>
      <c r="R234" s="9">
        <f t="shared" si="273"/>
        <v>34032</v>
      </c>
      <c r="S234" s="9">
        <f>S219+S224+S229</f>
        <v>32294</v>
      </c>
      <c r="T234" s="9">
        <f t="shared" si="267"/>
        <v>31891</v>
      </c>
      <c r="U234" s="9">
        <f t="shared" si="267"/>
        <v>32840</v>
      </c>
      <c r="V234" s="10">
        <f t="shared" si="267"/>
        <v>34971</v>
      </c>
      <c r="W234" s="10">
        <f>W219+W224+W229</f>
        <v>37357</v>
      </c>
      <c r="X234" s="10">
        <f t="shared" si="268"/>
        <v>39914</v>
      </c>
      <c r="Y234" s="10">
        <f t="shared" si="268"/>
        <v>42387</v>
      </c>
      <c r="Z234" s="10">
        <f t="shared" si="268"/>
        <v>47117</v>
      </c>
      <c r="AA234" s="10">
        <f t="shared" si="269"/>
        <v>51045.93</v>
      </c>
      <c r="AB234" s="10">
        <f t="shared" ref="AB234" si="274">AB219+AB224+AB229</f>
        <v>53240.1</v>
      </c>
      <c r="AC234" s="10">
        <f t="shared" si="269"/>
        <v>52821.33</v>
      </c>
    </row>
    <row r="235" spans="1:29" s="5" customFormat="1" ht="12.75" customHeight="1">
      <c r="A235" s="9" t="s">
        <v>24</v>
      </c>
      <c r="B235" s="9"/>
      <c r="C235" s="9"/>
      <c r="D235" s="10"/>
      <c r="E235" s="10"/>
      <c r="F235" s="10">
        <f t="shared" ref="F235:R235" si="275">F220+F225+F230</f>
        <v>0</v>
      </c>
      <c r="G235" s="10">
        <f t="shared" si="275"/>
        <v>0</v>
      </c>
      <c r="H235" s="10">
        <f t="shared" si="275"/>
        <v>0</v>
      </c>
      <c r="I235" s="10">
        <f t="shared" si="275"/>
        <v>0</v>
      </c>
      <c r="J235" s="10">
        <f t="shared" si="275"/>
        <v>0</v>
      </c>
      <c r="K235" s="10">
        <f t="shared" si="275"/>
        <v>0</v>
      </c>
      <c r="L235" s="10">
        <f t="shared" si="275"/>
        <v>0</v>
      </c>
      <c r="M235" s="10">
        <f t="shared" si="275"/>
        <v>0</v>
      </c>
      <c r="N235" s="10">
        <f t="shared" si="275"/>
        <v>0</v>
      </c>
      <c r="O235" s="10">
        <f t="shared" si="275"/>
        <v>0</v>
      </c>
      <c r="P235" s="9">
        <f t="shared" si="275"/>
        <v>0</v>
      </c>
      <c r="Q235" s="9">
        <f t="shared" si="275"/>
        <v>0</v>
      </c>
      <c r="R235" s="9">
        <f t="shared" si="275"/>
        <v>9502</v>
      </c>
      <c r="S235" s="9">
        <f>S220+S225+S230</f>
        <v>8884</v>
      </c>
      <c r="T235" s="9">
        <f t="shared" si="267"/>
        <v>9951</v>
      </c>
      <c r="U235" s="9">
        <f t="shared" si="267"/>
        <v>11037</v>
      </c>
      <c r="V235" s="10">
        <f t="shared" si="267"/>
        <v>12626</v>
      </c>
      <c r="W235" s="10">
        <f>W220+W225+W230</f>
        <v>13050</v>
      </c>
      <c r="X235" s="10">
        <f t="shared" si="268"/>
        <v>14374</v>
      </c>
      <c r="Y235" s="10">
        <f t="shared" si="268"/>
        <v>14088</v>
      </c>
      <c r="Z235" s="10">
        <f t="shared" si="268"/>
        <v>14170</v>
      </c>
      <c r="AA235" s="10">
        <f t="shared" si="269"/>
        <v>14906.849999999999</v>
      </c>
      <c r="AB235" s="10">
        <f t="shared" ref="AB235" si="276">AB220+AB225+AB230</f>
        <v>14415.68</v>
      </c>
      <c r="AC235" s="10">
        <f t="shared" si="269"/>
        <v>12814.15</v>
      </c>
    </row>
    <row r="236" spans="1:29" s="6" customFormat="1" ht="12.75" customHeight="1">
      <c r="A236" s="15"/>
      <c r="B236" s="15"/>
      <c r="C236" s="15"/>
      <c r="D236" s="11"/>
      <c r="E236" s="11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9"/>
      <c r="Q236" s="9"/>
      <c r="R236" s="9"/>
      <c r="S236" s="9"/>
      <c r="T236" s="9"/>
      <c r="U236" s="9"/>
      <c r="V236" s="10"/>
      <c r="W236" s="10"/>
      <c r="X236" s="10"/>
      <c r="Y236" s="10"/>
      <c r="Z236" s="10"/>
      <c r="AA236" s="10"/>
      <c r="AB236" s="10"/>
      <c r="AC236" s="10"/>
    </row>
    <row r="237" spans="1:29" s="5" customFormat="1" ht="12.75" customHeight="1" thickBot="1">
      <c r="A237" s="38" t="s">
        <v>14</v>
      </c>
      <c r="B237" s="38"/>
      <c r="C237" s="38"/>
      <c r="D237" s="39"/>
      <c r="E237" s="39"/>
      <c r="F237" s="39" t="s">
        <v>15</v>
      </c>
      <c r="G237" s="39" t="s">
        <v>16</v>
      </c>
      <c r="H237" s="39" t="s">
        <v>17</v>
      </c>
      <c r="I237" s="39" t="s">
        <v>18</v>
      </c>
      <c r="J237" s="39" t="s">
        <v>23</v>
      </c>
      <c r="K237" s="39" t="s">
        <v>25</v>
      </c>
      <c r="L237" s="39" t="s">
        <v>26</v>
      </c>
      <c r="M237" s="39" t="s">
        <v>40</v>
      </c>
      <c r="N237" s="39" t="s">
        <v>46</v>
      </c>
      <c r="O237" s="39" t="s">
        <v>47</v>
      </c>
      <c r="P237" s="39" t="s">
        <v>48</v>
      </c>
      <c r="Q237" s="39" t="s">
        <v>52</v>
      </c>
      <c r="R237" s="40" t="s">
        <v>55</v>
      </c>
      <c r="S237" s="40" t="s">
        <v>57</v>
      </c>
      <c r="T237" s="40" t="s">
        <v>60</v>
      </c>
      <c r="U237" s="40" t="s">
        <v>63</v>
      </c>
      <c r="V237" s="40" t="s">
        <v>65</v>
      </c>
      <c r="W237" s="40" t="s">
        <v>67</v>
      </c>
      <c r="X237" s="40" t="s">
        <v>69</v>
      </c>
      <c r="Y237" s="40" t="s">
        <v>71</v>
      </c>
      <c r="Z237" s="40" t="s">
        <v>74</v>
      </c>
      <c r="AA237" s="40" t="s">
        <v>79</v>
      </c>
      <c r="AB237" s="40" t="s">
        <v>87</v>
      </c>
      <c r="AC237" s="40" t="s">
        <v>116</v>
      </c>
    </row>
    <row r="238" spans="1:29" s="5" customFormat="1" ht="12.75" customHeight="1">
      <c r="A238" s="23" t="s">
        <v>10</v>
      </c>
      <c r="B238" s="10"/>
      <c r="C238" s="10"/>
      <c r="D238" s="10"/>
      <c r="E238" s="10"/>
      <c r="F238" s="10">
        <f t="shared" ref="F238:K238" si="277">F239+F245+F251</f>
        <v>369561</v>
      </c>
      <c r="G238" s="10">
        <f t="shared" si="277"/>
        <v>360438</v>
      </c>
      <c r="H238" s="10">
        <f t="shared" si="277"/>
        <v>356915</v>
      </c>
      <c r="I238" s="10">
        <f t="shared" si="277"/>
        <v>356144</v>
      </c>
      <c r="J238" s="10">
        <f t="shared" si="277"/>
        <v>367256</v>
      </c>
      <c r="K238" s="10">
        <f t="shared" si="277"/>
        <v>364357</v>
      </c>
      <c r="L238" s="10">
        <f t="shared" ref="L238:AC238" si="278">L239+L245+L251</f>
        <v>367216</v>
      </c>
      <c r="M238" s="10">
        <f t="shared" si="278"/>
        <v>381635</v>
      </c>
      <c r="N238" s="10">
        <f t="shared" si="278"/>
        <v>401127</v>
      </c>
      <c r="O238" s="10">
        <f t="shared" si="278"/>
        <v>398344</v>
      </c>
      <c r="P238" s="9">
        <f t="shared" si="278"/>
        <v>385309</v>
      </c>
      <c r="Q238" s="9">
        <f t="shared" si="278"/>
        <v>369846</v>
      </c>
      <c r="R238" s="9">
        <f t="shared" si="278"/>
        <v>358277</v>
      </c>
      <c r="S238" s="9">
        <f t="shared" ref="S238:AB238" si="279">S239+S245+S251</f>
        <v>349422</v>
      </c>
      <c r="T238" s="9">
        <f t="shared" si="279"/>
        <v>358533</v>
      </c>
      <c r="U238" s="9">
        <f t="shared" si="279"/>
        <v>373237</v>
      </c>
      <c r="V238" s="9">
        <f t="shared" si="279"/>
        <v>380989</v>
      </c>
      <c r="W238" s="10">
        <f t="shared" si="279"/>
        <v>387083</v>
      </c>
      <c r="X238" s="10">
        <f t="shared" si="279"/>
        <v>402525</v>
      </c>
      <c r="Y238" s="10">
        <f t="shared" si="279"/>
        <v>409196</v>
      </c>
      <c r="Z238" s="10">
        <f t="shared" si="279"/>
        <v>438019</v>
      </c>
      <c r="AA238" s="10">
        <f t="shared" si="279"/>
        <v>459178.48</v>
      </c>
      <c r="AB238" s="10">
        <f t="shared" si="279"/>
        <v>468587.02</v>
      </c>
      <c r="AC238" s="10">
        <f t="shared" si="278"/>
        <v>475623.36</v>
      </c>
    </row>
    <row r="239" spans="1:29" s="5" customFormat="1" ht="12.75" customHeight="1">
      <c r="A239" s="9" t="s">
        <v>19</v>
      </c>
      <c r="B239" s="9"/>
      <c r="C239" s="9"/>
      <c r="D239" s="10"/>
      <c r="E239" s="10"/>
      <c r="F239" s="10">
        <f t="shared" ref="F239:K239" si="280">F240+F241+F243</f>
        <v>21863</v>
      </c>
      <c r="G239" s="10">
        <f t="shared" si="280"/>
        <v>20636</v>
      </c>
      <c r="H239" s="10">
        <f t="shared" si="280"/>
        <v>20777</v>
      </c>
      <c r="I239" s="10">
        <f t="shared" si="280"/>
        <v>21191</v>
      </c>
      <c r="J239" s="10">
        <f t="shared" si="280"/>
        <v>21092</v>
      </c>
      <c r="K239" s="10">
        <f t="shared" si="280"/>
        <v>22190</v>
      </c>
      <c r="L239" s="10">
        <f t="shared" ref="L239:R239" si="281">L240+L241+L243</f>
        <v>21065</v>
      </c>
      <c r="M239" s="10">
        <f t="shared" si="281"/>
        <v>22066</v>
      </c>
      <c r="N239" s="10">
        <f t="shared" si="281"/>
        <v>23746</v>
      </c>
      <c r="O239" s="10">
        <f t="shared" si="281"/>
        <v>23665</v>
      </c>
      <c r="P239" s="9">
        <f t="shared" si="281"/>
        <v>24286</v>
      </c>
      <c r="Q239" s="9">
        <f t="shared" si="281"/>
        <v>22875</v>
      </c>
      <c r="R239" s="9">
        <f t="shared" si="281"/>
        <v>22460</v>
      </c>
      <c r="S239" s="9">
        <f t="shared" ref="S239:Z239" si="282">S240+S241+S243</f>
        <v>22633</v>
      </c>
      <c r="T239" s="9">
        <f t="shared" si="282"/>
        <v>21649</v>
      </c>
      <c r="U239" s="9">
        <f t="shared" si="282"/>
        <v>21979</v>
      </c>
      <c r="V239" s="9">
        <f t="shared" si="282"/>
        <v>22405</v>
      </c>
      <c r="W239" s="10">
        <f t="shared" si="282"/>
        <v>21638</v>
      </c>
      <c r="X239" s="10">
        <f t="shared" si="282"/>
        <v>21081</v>
      </c>
      <c r="Y239" s="10">
        <f t="shared" si="282"/>
        <v>20945</v>
      </c>
      <c r="Z239" s="10">
        <f t="shared" si="282"/>
        <v>21858</v>
      </c>
      <c r="AA239" s="10">
        <f>AA240+AA241+AA243+AA242</f>
        <v>21660.18</v>
      </c>
      <c r="AB239" s="10">
        <f>AB240+AB241+AB243+AB242</f>
        <v>21640.5</v>
      </c>
      <c r="AC239" s="10">
        <f>AC240+AC241+AC243+AC242</f>
        <v>23926.04</v>
      </c>
    </row>
    <row r="240" spans="1:29" ht="12.75" customHeight="1">
      <c r="A240" s="8" t="s">
        <v>2</v>
      </c>
      <c r="B240" s="8"/>
      <c r="C240" s="8"/>
      <c r="D240" s="8"/>
      <c r="E240" s="8"/>
      <c r="F240" s="12">
        <v>11340</v>
      </c>
      <c r="G240" s="12">
        <f>10374+14</f>
        <v>10388</v>
      </c>
      <c r="H240" s="12">
        <f>10928+62</f>
        <v>10990</v>
      </c>
      <c r="I240" s="12">
        <f>10289+9</f>
        <v>10298</v>
      </c>
      <c r="J240" s="12">
        <f>10584+15</f>
        <v>10599</v>
      </c>
      <c r="K240" s="12">
        <v>12045</v>
      </c>
      <c r="L240" s="12">
        <v>11593</v>
      </c>
      <c r="M240" s="12">
        <v>11958</v>
      </c>
      <c r="N240" s="12">
        <v>13217</v>
      </c>
      <c r="O240" s="12">
        <v>12334</v>
      </c>
      <c r="P240" s="21">
        <v>12784</v>
      </c>
      <c r="Q240" s="21">
        <v>11464</v>
      </c>
      <c r="R240" s="21">
        <v>11274</v>
      </c>
      <c r="S240" s="21">
        <v>11020</v>
      </c>
      <c r="T240" s="21">
        <v>10757</v>
      </c>
      <c r="U240" s="21">
        <v>10899</v>
      </c>
      <c r="V240" s="21">
        <v>11197</v>
      </c>
      <c r="W240" s="19">
        <v>11434</v>
      </c>
      <c r="X240" s="19">
        <v>12295</v>
      </c>
      <c r="Y240" s="19">
        <v>11675</v>
      </c>
      <c r="Z240" s="19">
        <v>12101</v>
      </c>
      <c r="AA240" s="19">
        <v>12508.5</v>
      </c>
      <c r="AB240" s="19">
        <v>12122</v>
      </c>
      <c r="AC240" s="19">
        <v>13632</v>
      </c>
    </row>
    <row r="241" spans="1:29" ht="12.75" customHeight="1">
      <c r="A241" s="8" t="s">
        <v>3</v>
      </c>
      <c r="B241" s="8"/>
      <c r="C241" s="8"/>
      <c r="D241" s="8"/>
      <c r="E241" s="8"/>
      <c r="F241" s="12">
        <v>6791</v>
      </c>
      <c r="G241" s="12">
        <f>5597+1137</f>
        <v>6734</v>
      </c>
      <c r="H241" s="12">
        <f>5291+1090</f>
        <v>6381</v>
      </c>
      <c r="I241" s="12">
        <f>6348+967</f>
        <v>7315</v>
      </c>
      <c r="J241" s="12">
        <f>5865+1044</f>
        <v>6909</v>
      </c>
      <c r="K241" s="12">
        <v>7281</v>
      </c>
      <c r="L241" s="12">
        <v>6756</v>
      </c>
      <c r="M241" s="12">
        <v>7208</v>
      </c>
      <c r="N241" s="12">
        <v>7483</v>
      </c>
      <c r="O241" s="12">
        <v>8585</v>
      </c>
      <c r="P241" s="21">
        <v>8532</v>
      </c>
      <c r="Q241" s="21">
        <v>8167</v>
      </c>
      <c r="R241" s="21">
        <v>8132</v>
      </c>
      <c r="S241" s="21">
        <v>8300</v>
      </c>
      <c r="T241" s="21">
        <v>7658</v>
      </c>
      <c r="U241" s="21">
        <v>7526</v>
      </c>
      <c r="V241" s="21">
        <v>7550</v>
      </c>
      <c r="W241" s="20">
        <v>6802</v>
      </c>
      <c r="X241" s="20">
        <v>7064</v>
      </c>
      <c r="Y241" s="20">
        <v>7363</v>
      </c>
      <c r="Z241" s="20">
        <v>7931</v>
      </c>
      <c r="AA241" s="20">
        <v>7681.93</v>
      </c>
      <c r="AB241" s="20">
        <v>7838.14</v>
      </c>
      <c r="AC241" s="20">
        <v>8727.64</v>
      </c>
    </row>
    <row r="242" spans="1:29" ht="12.75" customHeight="1">
      <c r="A242" s="8" t="s">
        <v>12</v>
      </c>
      <c r="B242" s="8"/>
      <c r="C242" s="8"/>
      <c r="D242" s="8"/>
      <c r="E242" s="8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21"/>
      <c r="Q242" s="21"/>
      <c r="R242" s="21"/>
      <c r="S242" s="21"/>
      <c r="T242" s="21"/>
      <c r="U242" s="21"/>
      <c r="V242" s="21"/>
      <c r="W242" s="20"/>
      <c r="X242" s="20"/>
      <c r="Y242" s="20"/>
      <c r="Z242" s="20"/>
      <c r="AA242" s="20">
        <v>0</v>
      </c>
      <c r="AB242" s="20">
        <v>0</v>
      </c>
      <c r="AC242" s="20">
        <v>0</v>
      </c>
    </row>
    <row r="243" spans="1:29" ht="12.75" customHeight="1">
      <c r="A243" s="8" t="s">
        <v>24</v>
      </c>
      <c r="B243" s="8"/>
      <c r="C243" s="8"/>
      <c r="D243" s="8"/>
      <c r="E243" s="8"/>
      <c r="F243" s="12">
        <v>3732</v>
      </c>
      <c r="G243" s="12">
        <v>3514</v>
      </c>
      <c r="H243" s="12">
        <v>3406</v>
      </c>
      <c r="I243" s="12">
        <v>3578</v>
      </c>
      <c r="J243" s="12">
        <v>3584</v>
      </c>
      <c r="K243" s="12">
        <v>2864</v>
      </c>
      <c r="L243" s="12">
        <v>2716</v>
      </c>
      <c r="M243" s="12">
        <v>2900</v>
      </c>
      <c r="N243" s="12">
        <v>3046</v>
      </c>
      <c r="O243" s="12">
        <v>2746</v>
      </c>
      <c r="P243" s="21">
        <v>2970</v>
      </c>
      <c r="Q243" s="21">
        <v>3244</v>
      </c>
      <c r="R243" s="21">
        <v>3054</v>
      </c>
      <c r="S243" s="21">
        <v>3313</v>
      </c>
      <c r="T243" s="21">
        <v>3234</v>
      </c>
      <c r="U243" s="21">
        <v>3554</v>
      </c>
      <c r="V243" s="21">
        <v>3658</v>
      </c>
      <c r="W243" s="20">
        <v>3402</v>
      </c>
      <c r="X243" s="20">
        <v>1722</v>
      </c>
      <c r="Y243" s="20">
        <v>1907</v>
      </c>
      <c r="Z243" s="20">
        <v>1826</v>
      </c>
      <c r="AA243" s="20">
        <v>1469.75</v>
      </c>
      <c r="AB243" s="20">
        <v>1680.36</v>
      </c>
      <c r="AC243" s="20">
        <v>1566.4</v>
      </c>
    </row>
    <row r="244" spans="1:29" ht="12.75" customHeight="1">
      <c r="A244" s="13"/>
      <c r="B244" s="13"/>
      <c r="C244" s="13"/>
      <c r="D244" s="8"/>
      <c r="E244" s="8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</row>
    <row r="245" spans="1:29" s="5" customFormat="1" ht="12.75" customHeight="1">
      <c r="A245" s="9" t="s">
        <v>20</v>
      </c>
      <c r="B245" s="9"/>
      <c r="C245" s="9"/>
      <c r="D245" s="10"/>
      <c r="E245" s="10"/>
      <c r="F245" s="10">
        <f t="shared" ref="F245:K245" si="283">F246+F247+F249</f>
        <v>184571</v>
      </c>
      <c r="G245" s="10">
        <f t="shared" si="283"/>
        <v>180960</v>
      </c>
      <c r="H245" s="10">
        <f t="shared" si="283"/>
        <v>179264</v>
      </c>
      <c r="I245" s="10">
        <f t="shared" si="283"/>
        <v>179074</v>
      </c>
      <c r="J245" s="10">
        <f t="shared" si="283"/>
        <v>182251</v>
      </c>
      <c r="K245" s="10">
        <f t="shared" si="283"/>
        <v>180412</v>
      </c>
      <c r="L245" s="10">
        <f t="shared" ref="L245:R245" si="284">L246+L247+L249</f>
        <v>183515</v>
      </c>
      <c r="M245" s="10">
        <f t="shared" si="284"/>
        <v>188194</v>
      </c>
      <c r="N245" s="10">
        <f t="shared" si="284"/>
        <v>196629</v>
      </c>
      <c r="O245" s="10">
        <f t="shared" si="284"/>
        <v>198277</v>
      </c>
      <c r="P245" s="9">
        <f t="shared" si="284"/>
        <v>191703</v>
      </c>
      <c r="Q245" s="9">
        <f t="shared" si="284"/>
        <v>185524</v>
      </c>
      <c r="R245" s="9">
        <f t="shared" si="284"/>
        <v>178411</v>
      </c>
      <c r="S245" s="9">
        <f t="shared" ref="S245:Z245" si="285">S246+S247+S249</f>
        <v>173567</v>
      </c>
      <c r="T245" s="9">
        <f t="shared" si="285"/>
        <v>178026</v>
      </c>
      <c r="U245" s="9">
        <f t="shared" si="285"/>
        <v>184908</v>
      </c>
      <c r="V245" s="9">
        <f t="shared" si="285"/>
        <v>188197</v>
      </c>
      <c r="W245" s="10">
        <f t="shared" si="285"/>
        <v>192911</v>
      </c>
      <c r="X245" s="10">
        <f t="shared" si="285"/>
        <v>203465</v>
      </c>
      <c r="Y245" s="10">
        <f t="shared" si="285"/>
        <v>206570</v>
      </c>
      <c r="Z245" s="10">
        <f t="shared" si="285"/>
        <v>220233</v>
      </c>
      <c r="AA245" s="10">
        <f>AA246+AA247+AA249+AA248</f>
        <v>230814.01</v>
      </c>
      <c r="AB245" s="10">
        <f>AB246+AB247+AB249+AB248</f>
        <v>238521.71</v>
      </c>
      <c r="AC245" s="10">
        <f>AC246+AC247+AC249+AC248</f>
        <v>241491.44999999998</v>
      </c>
    </row>
    <row r="246" spans="1:29" ht="12.75" customHeight="1">
      <c r="A246" s="8" t="s">
        <v>2</v>
      </c>
      <c r="B246" s="8"/>
      <c r="C246" s="8"/>
      <c r="D246" s="8"/>
      <c r="E246" s="8"/>
      <c r="F246" s="12">
        <v>128137</v>
      </c>
      <c r="G246" s="12">
        <f>125839+271</f>
        <v>126110</v>
      </c>
      <c r="H246" s="12">
        <f>125493+330</f>
        <v>125823</v>
      </c>
      <c r="I246" s="12">
        <f>126275+269</f>
        <v>126544</v>
      </c>
      <c r="J246" s="12">
        <f>130419+169</f>
        <v>130588</v>
      </c>
      <c r="K246" s="12">
        <v>130235</v>
      </c>
      <c r="L246" s="12">
        <v>133249</v>
      </c>
      <c r="M246" s="12">
        <v>137265</v>
      </c>
      <c r="N246" s="12">
        <v>143343</v>
      </c>
      <c r="O246" s="12">
        <v>143837</v>
      </c>
      <c r="P246" s="21">
        <v>134333</v>
      </c>
      <c r="Q246" s="21">
        <v>128478</v>
      </c>
      <c r="R246" s="21">
        <v>122077</v>
      </c>
      <c r="S246" s="21">
        <v>121225</v>
      </c>
      <c r="T246" s="21">
        <v>124763</v>
      </c>
      <c r="U246" s="21">
        <v>131928</v>
      </c>
      <c r="V246" s="21">
        <v>132949</v>
      </c>
      <c r="W246" s="19">
        <v>133453</v>
      </c>
      <c r="X246" s="19">
        <v>141554</v>
      </c>
      <c r="Y246" s="19">
        <v>144573</v>
      </c>
      <c r="Z246" s="19">
        <v>157591</v>
      </c>
      <c r="AA246" s="19">
        <v>167630.17000000001</v>
      </c>
      <c r="AB246" s="19">
        <v>169719.24</v>
      </c>
      <c r="AC246" s="19">
        <v>170844.91</v>
      </c>
    </row>
    <row r="247" spans="1:29" ht="12.75" customHeight="1">
      <c r="A247" s="8" t="s">
        <v>3</v>
      </c>
      <c r="B247" s="8"/>
      <c r="C247" s="8"/>
      <c r="D247" s="8"/>
      <c r="E247" s="8"/>
      <c r="F247" s="12">
        <v>44590</v>
      </c>
      <c r="G247" s="12">
        <f>42473+1258</f>
        <v>43731</v>
      </c>
      <c r="H247" s="12">
        <f>41890+1186</f>
        <v>43076</v>
      </c>
      <c r="I247" s="12">
        <f>40593+1321</f>
        <v>41914</v>
      </c>
      <c r="J247" s="12">
        <f>39931+1243</f>
        <v>41174</v>
      </c>
      <c r="K247" s="12">
        <v>41276</v>
      </c>
      <c r="L247" s="12">
        <v>41205</v>
      </c>
      <c r="M247" s="12">
        <v>41942</v>
      </c>
      <c r="N247" s="12">
        <v>43975</v>
      </c>
      <c r="O247" s="12">
        <v>44651</v>
      </c>
      <c r="P247" s="21">
        <v>46486</v>
      </c>
      <c r="Q247" s="21">
        <v>46457</v>
      </c>
      <c r="R247" s="21">
        <v>45802</v>
      </c>
      <c r="S247" s="21">
        <v>41798</v>
      </c>
      <c r="T247" s="21">
        <v>42159</v>
      </c>
      <c r="U247" s="21">
        <v>41959</v>
      </c>
      <c r="V247" s="21">
        <v>43925</v>
      </c>
      <c r="W247" s="20">
        <v>48197</v>
      </c>
      <c r="X247" s="20">
        <v>50914</v>
      </c>
      <c r="Y247" s="20">
        <v>51325</v>
      </c>
      <c r="Z247" s="20">
        <v>52255</v>
      </c>
      <c r="AA247" s="20">
        <v>52779.65</v>
      </c>
      <c r="AB247" s="20">
        <v>57736.3</v>
      </c>
      <c r="AC247" s="20">
        <v>59690.06</v>
      </c>
    </row>
    <row r="248" spans="1:29" ht="12.75" customHeight="1">
      <c r="A248" s="8" t="s">
        <v>12</v>
      </c>
      <c r="B248" s="8"/>
      <c r="C248" s="8"/>
      <c r="D248" s="8"/>
      <c r="E248" s="8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21"/>
      <c r="Q248" s="21"/>
      <c r="R248" s="21"/>
      <c r="S248" s="21"/>
      <c r="T248" s="21"/>
      <c r="U248" s="21"/>
      <c r="V248" s="21"/>
      <c r="W248" s="20"/>
      <c r="X248" s="20"/>
      <c r="Y248" s="20"/>
      <c r="Z248" s="20"/>
      <c r="AA248" s="20">
        <v>2.0099999999999998</v>
      </c>
      <c r="AB248" s="20">
        <v>16.850000000000001</v>
      </c>
      <c r="AC248" s="20">
        <v>4.68</v>
      </c>
    </row>
    <row r="249" spans="1:29" ht="12.75" customHeight="1">
      <c r="A249" s="8" t="s">
        <v>24</v>
      </c>
      <c r="B249" s="8"/>
      <c r="C249" s="8"/>
      <c r="D249" s="8"/>
      <c r="E249" s="8"/>
      <c r="F249" s="12">
        <v>11844</v>
      </c>
      <c r="G249" s="12">
        <v>11119</v>
      </c>
      <c r="H249" s="12">
        <v>10365</v>
      </c>
      <c r="I249" s="12">
        <v>10616</v>
      </c>
      <c r="J249" s="12">
        <v>10489</v>
      </c>
      <c r="K249" s="12">
        <v>8901</v>
      </c>
      <c r="L249" s="12">
        <v>9061</v>
      </c>
      <c r="M249" s="12">
        <v>8987</v>
      </c>
      <c r="N249" s="12">
        <v>9311</v>
      </c>
      <c r="O249" s="12">
        <v>9789</v>
      </c>
      <c r="P249" s="21">
        <v>10884</v>
      </c>
      <c r="Q249" s="21">
        <v>10589</v>
      </c>
      <c r="R249" s="21">
        <v>10532</v>
      </c>
      <c r="S249" s="21">
        <v>10544</v>
      </c>
      <c r="T249" s="21">
        <v>11104</v>
      </c>
      <c r="U249" s="21">
        <v>11021</v>
      </c>
      <c r="V249" s="21">
        <v>11323</v>
      </c>
      <c r="W249" s="20">
        <v>11261</v>
      </c>
      <c r="X249" s="20">
        <v>10997</v>
      </c>
      <c r="Y249" s="20">
        <v>10672</v>
      </c>
      <c r="Z249" s="20">
        <v>10387</v>
      </c>
      <c r="AA249" s="20">
        <v>10402.18</v>
      </c>
      <c r="AB249" s="20">
        <v>11049.32</v>
      </c>
      <c r="AC249" s="20">
        <v>10951.8</v>
      </c>
    </row>
    <row r="250" spans="1:29" ht="12.75" customHeight="1">
      <c r="A250" s="13"/>
      <c r="B250" s="13"/>
      <c r="C250" s="13"/>
      <c r="D250" s="8"/>
      <c r="E250" s="8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21"/>
      <c r="Q250" s="21"/>
      <c r="R250" s="21"/>
      <c r="S250" s="21"/>
      <c r="T250" s="21"/>
      <c r="U250" s="21"/>
      <c r="V250" s="21"/>
      <c r="W250" s="12"/>
      <c r="X250" s="12"/>
      <c r="Y250" s="12"/>
      <c r="Z250" s="12"/>
      <c r="AA250" s="12"/>
      <c r="AB250" s="12"/>
      <c r="AC250" s="12"/>
    </row>
    <row r="251" spans="1:29" s="5" customFormat="1" ht="12.75" customHeight="1">
      <c r="A251" s="9" t="s">
        <v>21</v>
      </c>
      <c r="B251" s="9"/>
      <c r="C251" s="9"/>
      <c r="D251" s="10"/>
      <c r="E251" s="10"/>
      <c r="F251" s="10">
        <f t="shared" ref="F251:K251" si="286">F252+F253+F255</f>
        <v>163127</v>
      </c>
      <c r="G251" s="10">
        <f t="shared" si="286"/>
        <v>158842</v>
      </c>
      <c r="H251" s="10">
        <f t="shared" si="286"/>
        <v>156874</v>
      </c>
      <c r="I251" s="10">
        <f t="shared" si="286"/>
        <v>155879</v>
      </c>
      <c r="J251" s="10">
        <f t="shared" si="286"/>
        <v>163913</v>
      </c>
      <c r="K251" s="10">
        <f t="shared" si="286"/>
        <v>161755</v>
      </c>
      <c r="L251" s="10">
        <f t="shared" ref="L251:R251" si="287">L252+L253+L255</f>
        <v>162636</v>
      </c>
      <c r="M251" s="10">
        <f t="shared" si="287"/>
        <v>171375</v>
      </c>
      <c r="N251" s="10">
        <f t="shared" si="287"/>
        <v>180752</v>
      </c>
      <c r="O251" s="10">
        <f t="shared" si="287"/>
        <v>176402</v>
      </c>
      <c r="P251" s="9">
        <f t="shared" si="287"/>
        <v>169320</v>
      </c>
      <c r="Q251" s="9">
        <f t="shared" si="287"/>
        <v>161447</v>
      </c>
      <c r="R251" s="9">
        <f t="shared" si="287"/>
        <v>157406</v>
      </c>
      <c r="S251" s="9">
        <f t="shared" ref="S251:Z251" si="288">S252+S253+S255</f>
        <v>153222</v>
      </c>
      <c r="T251" s="9">
        <f t="shared" si="288"/>
        <v>158858</v>
      </c>
      <c r="U251" s="9">
        <f t="shared" si="288"/>
        <v>166350</v>
      </c>
      <c r="V251" s="9">
        <f t="shared" si="288"/>
        <v>170387</v>
      </c>
      <c r="W251" s="10">
        <f t="shared" si="288"/>
        <v>172534</v>
      </c>
      <c r="X251" s="10">
        <f t="shared" si="288"/>
        <v>177979</v>
      </c>
      <c r="Y251" s="10">
        <f t="shared" si="288"/>
        <v>181681</v>
      </c>
      <c r="Z251" s="10">
        <f t="shared" si="288"/>
        <v>195928</v>
      </c>
      <c r="AA251" s="10">
        <f>AA252+AA253+AA255+AA254</f>
        <v>206704.29</v>
      </c>
      <c r="AB251" s="10">
        <f>AB252+AB253+AB255+AB254</f>
        <v>208424.81</v>
      </c>
      <c r="AC251" s="10">
        <f>AC252+AC253+AC255+AC254</f>
        <v>210205.87</v>
      </c>
    </row>
    <row r="252" spans="1:29" ht="12.75" customHeight="1">
      <c r="A252" s="8" t="s">
        <v>2</v>
      </c>
      <c r="B252" s="8"/>
      <c r="C252" s="8"/>
      <c r="D252" s="8"/>
      <c r="E252" s="8"/>
      <c r="F252" s="12">
        <v>107362</v>
      </c>
      <c r="G252" s="12">
        <f>105431+206</f>
        <v>105637</v>
      </c>
      <c r="H252" s="12">
        <f>103955+240</f>
        <v>104195</v>
      </c>
      <c r="I252" s="12">
        <f>104119+174</f>
        <v>104293</v>
      </c>
      <c r="J252" s="12">
        <v>112768</v>
      </c>
      <c r="K252" s="12">
        <v>109877</v>
      </c>
      <c r="L252" s="12">
        <v>111754</v>
      </c>
      <c r="M252" s="12">
        <v>119080</v>
      </c>
      <c r="N252" s="12">
        <v>126515</v>
      </c>
      <c r="O252" s="12">
        <v>121022</v>
      </c>
      <c r="P252" s="21">
        <v>110313</v>
      </c>
      <c r="Q252" s="21">
        <v>104488</v>
      </c>
      <c r="R252" s="21">
        <v>101142</v>
      </c>
      <c r="S252" s="21">
        <v>99501</v>
      </c>
      <c r="T252" s="21">
        <v>104051</v>
      </c>
      <c r="U252" s="21">
        <v>110631</v>
      </c>
      <c r="V252" s="21">
        <v>112961</v>
      </c>
      <c r="W252" s="19">
        <v>113317</v>
      </c>
      <c r="X252" s="19">
        <v>116542</v>
      </c>
      <c r="Y252" s="19">
        <v>120303</v>
      </c>
      <c r="Z252" s="19">
        <v>132866</v>
      </c>
      <c r="AA252" s="19">
        <v>138526.82</v>
      </c>
      <c r="AB252" s="19">
        <v>138531.88</v>
      </c>
      <c r="AC252" s="19">
        <v>137464.46</v>
      </c>
    </row>
    <row r="253" spans="1:29" ht="12.75" customHeight="1">
      <c r="A253" s="8" t="s">
        <v>3</v>
      </c>
      <c r="B253" s="8"/>
      <c r="C253" s="8"/>
      <c r="D253" s="8"/>
      <c r="E253" s="8"/>
      <c r="F253" s="12">
        <v>44970</v>
      </c>
      <c r="G253" s="12">
        <f>41249+1631</f>
        <v>42880</v>
      </c>
      <c r="H253" s="12">
        <f>40944+1652</f>
        <v>42596</v>
      </c>
      <c r="I253" s="12">
        <f>39809+1421</f>
        <v>41230</v>
      </c>
      <c r="J253" s="12">
        <v>42009</v>
      </c>
      <c r="K253" s="12">
        <v>42913</v>
      </c>
      <c r="L253" s="12">
        <v>42282</v>
      </c>
      <c r="M253" s="12">
        <v>43434</v>
      </c>
      <c r="N253" s="12">
        <v>45419</v>
      </c>
      <c r="O253" s="12">
        <v>45734</v>
      </c>
      <c r="P253" s="21">
        <v>48545</v>
      </c>
      <c r="Q253" s="21">
        <v>46632</v>
      </c>
      <c r="R253" s="21">
        <v>46113</v>
      </c>
      <c r="S253" s="21">
        <v>43138</v>
      </c>
      <c r="T253" s="21">
        <v>44178</v>
      </c>
      <c r="U253" s="21">
        <v>45366</v>
      </c>
      <c r="V253" s="21">
        <v>46986</v>
      </c>
      <c r="W253" s="20">
        <v>48763</v>
      </c>
      <c r="X253" s="20">
        <v>51427</v>
      </c>
      <c r="Y253" s="20">
        <v>51801</v>
      </c>
      <c r="Z253" s="20">
        <v>53275</v>
      </c>
      <c r="AA253" s="20">
        <v>58015.46</v>
      </c>
      <c r="AB253" s="20">
        <v>59706.13</v>
      </c>
      <c r="AC253" s="20">
        <v>62591.62</v>
      </c>
    </row>
    <row r="254" spans="1:29" ht="12.75" customHeight="1">
      <c r="A254" s="8" t="s">
        <v>12</v>
      </c>
      <c r="B254" s="8"/>
      <c r="C254" s="8"/>
      <c r="D254" s="8"/>
      <c r="E254" s="8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21"/>
      <c r="Q254" s="21"/>
      <c r="R254" s="21"/>
      <c r="S254" s="21"/>
      <c r="T254" s="21"/>
      <c r="U254" s="21"/>
      <c r="V254" s="21"/>
      <c r="W254" s="20"/>
      <c r="X254" s="20"/>
      <c r="Y254" s="20"/>
      <c r="Z254" s="20"/>
      <c r="AA254" s="20">
        <v>0.67</v>
      </c>
      <c r="AB254" s="20">
        <v>6.19</v>
      </c>
      <c r="AC254" s="20">
        <v>0</v>
      </c>
    </row>
    <row r="255" spans="1:29" ht="12.75" customHeight="1">
      <c r="A255" s="8" t="s">
        <v>24</v>
      </c>
      <c r="B255" s="8"/>
      <c r="C255" s="8"/>
      <c r="D255" s="8"/>
      <c r="E255" s="8"/>
      <c r="F255" s="12">
        <v>10795</v>
      </c>
      <c r="G255" s="12">
        <v>10325</v>
      </c>
      <c r="H255" s="12">
        <v>10083</v>
      </c>
      <c r="I255" s="12">
        <v>10356</v>
      </c>
      <c r="J255" s="12">
        <v>9136</v>
      </c>
      <c r="K255" s="12">
        <v>8965</v>
      </c>
      <c r="L255" s="12">
        <v>8600</v>
      </c>
      <c r="M255" s="12">
        <v>8861</v>
      </c>
      <c r="N255" s="12">
        <v>8818</v>
      </c>
      <c r="O255" s="12">
        <v>9646</v>
      </c>
      <c r="P255" s="21">
        <v>10462</v>
      </c>
      <c r="Q255" s="21">
        <v>10327</v>
      </c>
      <c r="R255" s="21">
        <v>10151</v>
      </c>
      <c r="S255" s="21">
        <v>10583</v>
      </c>
      <c r="T255" s="21">
        <v>10629</v>
      </c>
      <c r="U255" s="21">
        <v>10353</v>
      </c>
      <c r="V255" s="21">
        <v>10440</v>
      </c>
      <c r="W255" s="20">
        <v>10454</v>
      </c>
      <c r="X255" s="20">
        <v>10010</v>
      </c>
      <c r="Y255" s="20">
        <v>9577</v>
      </c>
      <c r="Z255" s="20">
        <v>9787</v>
      </c>
      <c r="AA255" s="20">
        <v>10161.34</v>
      </c>
      <c r="AB255" s="20">
        <v>10180.61</v>
      </c>
      <c r="AC255" s="20">
        <v>10149.790000000001</v>
      </c>
    </row>
    <row r="256" spans="1:29" ht="12.75" customHeight="1">
      <c r="A256" s="13"/>
      <c r="B256" s="13"/>
      <c r="C256" s="13"/>
      <c r="D256" s="8"/>
      <c r="E256" s="8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21"/>
      <c r="Q256" s="21"/>
      <c r="R256" s="21"/>
      <c r="S256" s="21"/>
      <c r="T256" s="21"/>
      <c r="U256" s="21"/>
      <c r="V256" s="21"/>
      <c r="W256" s="12"/>
      <c r="X256" s="12"/>
      <c r="Y256" s="12"/>
      <c r="Z256" s="12"/>
      <c r="AA256" s="12"/>
      <c r="AB256" s="12"/>
      <c r="AC256" s="12"/>
    </row>
    <row r="257" spans="1:29" s="5" customFormat="1" ht="12.75" customHeight="1">
      <c r="A257" s="9" t="s">
        <v>22</v>
      </c>
      <c r="B257" s="9"/>
      <c r="C257" s="9"/>
      <c r="D257" s="10"/>
      <c r="E257" s="10"/>
      <c r="F257" s="10">
        <f t="shared" ref="F257:AC257" si="289">F239+F245+F251</f>
        <v>369561</v>
      </c>
      <c r="G257" s="10">
        <f t="shared" si="289"/>
        <v>360438</v>
      </c>
      <c r="H257" s="10">
        <f t="shared" si="289"/>
        <v>356915</v>
      </c>
      <c r="I257" s="10">
        <f t="shared" si="289"/>
        <v>356144</v>
      </c>
      <c r="J257" s="10">
        <f t="shared" si="289"/>
        <v>367256</v>
      </c>
      <c r="K257" s="10">
        <f t="shared" si="289"/>
        <v>364357</v>
      </c>
      <c r="L257" s="10">
        <f t="shared" si="289"/>
        <v>367216</v>
      </c>
      <c r="M257" s="10">
        <f t="shared" si="289"/>
        <v>381635</v>
      </c>
      <c r="N257" s="10">
        <f t="shared" si="289"/>
        <v>401127</v>
      </c>
      <c r="O257" s="10">
        <f t="shared" si="289"/>
        <v>398344</v>
      </c>
      <c r="P257" s="9">
        <f t="shared" si="289"/>
        <v>385309</v>
      </c>
      <c r="Q257" s="9">
        <f t="shared" si="289"/>
        <v>369846</v>
      </c>
      <c r="R257" s="9">
        <f t="shared" si="289"/>
        <v>358277</v>
      </c>
      <c r="S257" s="9">
        <f t="shared" si="289"/>
        <v>349422</v>
      </c>
      <c r="T257" s="9">
        <f t="shared" si="289"/>
        <v>358533</v>
      </c>
      <c r="U257" s="9">
        <f t="shared" si="289"/>
        <v>373237</v>
      </c>
      <c r="V257" s="10">
        <f t="shared" si="289"/>
        <v>380989</v>
      </c>
      <c r="W257" s="10">
        <f t="shared" si="289"/>
        <v>387083</v>
      </c>
      <c r="X257" s="10">
        <f t="shared" si="289"/>
        <v>402525</v>
      </c>
      <c r="Y257" s="10">
        <f t="shared" si="289"/>
        <v>409196</v>
      </c>
      <c r="Z257" s="10">
        <f t="shared" si="289"/>
        <v>438019</v>
      </c>
      <c r="AA257" s="10">
        <f>AA239+AA245+AA251</f>
        <v>459178.48</v>
      </c>
      <c r="AB257" s="10">
        <f t="shared" ref="AB257" si="290">AB239+AB245+AB251</f>
        <v>468587.02</v>
      </c>
      <c r="AC257" s="10">
        <f t="shared" si="289"/>
        <v>475623.36</v>
      </c>
    </row>
    <row r="258" spans="1:29" s="5" customFormat="1" ht="12.75" customHeight="1">
      <c r="A258" s="15" t="s">
        <v>2</v>
      </c>
      <c r="B258" s="15"/>
      <c r="C258" s="9"/>
      <c r="D258" s="10"/>
      <c r="E258" s="10"/>
      <c r="F258" s="10">
        <f t="shared" ref="F258:AC258" si="291">F240+F246+F252</f>
        <v>246839</v>
      </c>
      <c r="G258" s="10">
        <f t="shared" si="291"/>
        <v>242135</v>
      </c>
      <c r="H258" s="10">
        <f t="shared" si="291"/>
        <v>241008</v>
      </c>
      <c r="I258" s="10">
        <f t="shared" si="291"/>
        <v>241135</v>
      </c>
      <c r="J258" s="10">
        <f t="shared" si="291"/>
        <v>253955</v>
      </c>
      <c r="K258" s="10">
        <f t="shared" si="291"/>
        <v>252157</v>
      </c>
      <c r="L258" s="10">
        <f t="shared" si="291"/>
        <v>256596</v>
      </c>
      <c r="M258" s="10">
        <f t="shared" si="291"/>
        <v>268303</v>
      </c>
      <c r="N258" s="10">
        <f t="shared" si="291"/>
        <v>283075</v>
      </c>
      <c r="O258" s="10">
        <f t="shared" si="291"/>
        <v>277193</v>
      </c>
      <c r="P258" s="9">
        <f t="shared" si="291"/>
        <v>257430</v>
      </c>
      <c r="Q258" s="9">
        <f t="shared" si="291"/>
        <v>244430</v>
      </c>
      <c r="R258" s="9">
        <f t="shared" si="291"/>
        <v>234493</v>
      </c>
      <c r="S258" s="9">
        <f t="shared" si="291"/>
        <v>231746</v>
      </c>
      <c r="T258" s="9">
        <f t="shared" si="291"/>
        <v>239571</v>
      </c>
      <c r="U258" s="9">
        <f t="shared" si="291"/>
        <v>253458</v>
      </c>
      <c r="V258" s="10">
        <f t="shared" si="291"/>
        <v>257107</v>
      </c>
      <c r="W258" s="10">
        <f t="shared" si="291"/>
        <v>258204</v>
      </c>
      <c r="X258" s="10">
        <f t="shared" si="291"/>
        <v>270391</v>
      </c>
      <c r="Y258" s="10">
        <f t="shared" si="291"/>
        <v>276551</v>
      </c>
      <c r="Z258" s="10">
        <f t="shared" si="291"/>
        <v>302558</v>
      </c>
      <c r="AA258" s="10">
        <f>AA240+AA246+AA252</f>
        <v>318665.49</v>
      </c>
      <c r="AB258" s="10">
        <f t="shared" ref="AB258" si="292">AB240+AB246+AB252</f>
        <v>320373.12</v>
      </c>
      <c r="AC258" s="10">
        <f t="shared" si="291"/>
        <v>321941.37</v>
      </c>
    </row>
    <row r="259" spans="1:29" s="5" customFormat="1" ht="12.75" customHeight="1">
      <c r="A259" s="15" t="s">
        <v>3</v>
      </c>
      <c r="B259" s="15"/>
      <c r="C259" s="9"/>
      <c r="D259" s="10"/>
      <c r="E259" s="10"/>
      <c r="F259" s="10">
        <f t="shared" ref="F259:AC259" si="293">F241+F247+F253</f>
        <v>96351</v>
      </c>
      <c r="G259" s="10">
        <f t="shared" si="293"/>
        <v>93345</v>
      </c>
      <c r="H259" s="10">
        <f t="shared" si="293"/>
        <v>92053</v>
      </c>
      <c r="I259" s="10">
        <f t="shared" si="293"/>
        <v>90459</v>
      </c>
      <c r="J259" s="10">
        <f t="shared" si="293"/>
        <v>90092</v>
      </c>
      <c r="K259" s="10">
        <f t="shared" si="293"/>
        <v>91470</v>
      </c>
      <c r="L259" s="10">
        <f t="shared" si="293"/>
        <v>90243</v>
      </c>
      <c r="M259" s="10">
        <f t="shared" si="293"/>
        <v>92584</v>
      </c>
      <c r="N259" s="10">
        <f t="shared" si="293"/>
        <v>96877</v>
      </c>
      <c r="O259" s="10">
        <f t="shared" si="293"/>
        <v>98970</v>
      </c>
      <c r="P259" s="9">
        <f t="shared" si="293"/>
        <v>103563</v>
      </c>
      <c r="Q259" s="9">
        <f t="shared" si="293"/>
        <v>101256</v>
      </c>
      <c r="R259" s="9">
        <f t="shared" si="293"/>
        <v>100047</v>
      </c>
      <c r="S259" s="9">
        <f t="shared" si="293"/>
        <v>93236</v>
      </c>
      <c r="T259" s="9">
        <f t="shared" si="293"/>
        <v>93995</v>
      </c>
      <c r="U259" s="9">
        <f t="shared" si="293"/>
        <v>94851</v>
      </c>
      <c r="V259" s="10">
        <f t="shared" si="293"/>
        <v>98461</v>
      </c>
      <c r="W259" s="10">
        <f t="shared" si="293"/>
        <v>103762</v>
      </c>
      <c r="X259" s="10">
        <f t="shared" si="293"/>
        <v>109405</v>
      </c>
      <c r="Y259" s="10">
        <f t="shared" si="293"/>
        <v>110489</v>
      </c>
      <c r="Z259" s="10">
        <f t="shared" si="293"/>
        <v>113461</v>
      </c>
      <c r="AA259" s="10">
        <f>AA241+AA247+AA253</f>
        <v>118477.04000000001</v>
      </c>
      <c r="AB259" s="10">
        <f t="shared" ref="AB259" si="294">AB241+AB247+AB253</f>
        <v>125280.57</v>
      </c>
      <c r="AC259" s="10">
        <f t="shared" si="293"/>
        <v>131009.32</v>
      </c>
    </row>
    <row r="260" spans="1:29" s="5" customFormat="1" ht="12.75" customHeight="1">
      <c r="A260" s="8" t="s">
        <v>12</v>
      </c>
      <c r="B260" s="8"/>
      <c r="C260" s="8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9"/>
      <c r="Q260" s="9"/>
      <c r="R260" s="9"/>
      <c r="S260" s="9"/>
      <c r="T260" s="9"/>
      <c r="U260" s="9"/>
      <c r="V260" s="10"/>
      <c r="W260" s="10"/>
      <c r="X260" s="10"/>
      <c r="Y260" s="10"/>
      <c r="Z260" s="10"/>
      <c r="AA260" s="10">
        <f>AA242+AA248+AA254</f>
        <v>2.6799999999999997</v>
      </c>
      <c r="AB260" s="10">
        <f>AB242+AB248+AB254</f>
        <v>23.040000000000003</v>
      </c>
      <c r="AC260" s="10">
        <f>AC242+AC248+AC254</f>
        <v>4.68</v>
      </c>
    </row>
    <row r="261" spans="1:29" s="5" customFormat="1" ht="12.75" customHeight="1">
      <c r="A261" s="15" t="s">
        <v>24</v>
      </c>
      <c r="B261" s="15"/>
      <c r="C261" s="9"/>
      <c r="D261" s="10"/>
      <c r="E261" s="10"/>
      <c r="F261" s="10">
        <f t="shared" ref="F261:K261" si="295">F243+F249+F255</f>
        <v>26371</v>
      </c>
      <c r="G261" s="10">
        <f t="shared" si="295"/>
        <v>24958</v>
      </c>
      <c r="H261" s="10">
        <f t="shared" si="295"/>
        <v>23854</v>
      </c>
      <c r="I261" s="10">
        <f t="shared" si="295"/>
        <v>24550</v>
      </c>
      <c r="J261" s="10">
        <f t="shared" si="295"/>
        <v>23209</v>
      </c>
      <c r="K261" s="10">
        <f t="shared" si="295"/>
        <v>20730</v>
      </c>
      <c r="L261" s="10">
        <f t="shared" ref="L261:Z261" si="296">L243+L249+L255</f>
        <v>20377</v>
      </c>
      <c r="M261" s="10">
        <f t="shared" si="296"/>
        <v>20748</v>
      </c>
      <c r="N261" s="10">
        <f t="shared" si="296"/>
        <v>21175</v>
      </c>
      <c r="O261" s="10">
        <f t="shared" si="296"/>
        <v>22181</v>
      </c>
      <c r="P261" s="9">
        <f t="shared" si="296"/>
        <v>24316</v>
      </c>
      <c r="Q261" s="9">
        <f t="shared" si="296"/>
        <v>24160</v>
      </c>
      <c r="R261" s="9">
        <f t="shared" si="296"/>
        <v>23737</v>
      </c>
      <c r="S261" s="9">
        <f t="shared" si="296"/>
        <v>24440</v>
      </c>
      <c r="T261" s="9">
        <f t="shared" si="296"/>
        <v>24967</v>
      </c>
      <c r="U261" s="9">
        <f t="shared" si="296"/>
        <v>24928</v>
      </c>
      <c r="V261" s="10">
        <f t="shared" si="296"/>
        <v>25421</v>
      </c>
      <c r="W261" s="10">
        <f t="shared" si="296"/>
        <v>25117</v>
      </c>
      <c r="X261" s="10">
        <f t="shared" si="296"/>
        <v>22729</v>
      </c>
      <c r="Y261" s="10">
        <f t="shared" si="296"/>
        <v>22156</v>
      </c>
      <c r="Z261" s="10">
        <f t="shared" si="296"/>
        <v>22000</v>
      </c>
      <c r="AA261" s="10">
        <f>AA243+AA249+AA255</f>
        <v>22033.27</v>
      </c>
      <c r="AB261" s="10">
        <f>AB243+AB249+AB255</f>
        <v>22910.29</v>
      </c>
      <c r="AC261" s="10">
        <f>AC243+AC249+AC255</f>
        <v>22667.989999999998</v>
      </c>
    </row>
    <row r="262" spans="1:29" ht="12.75" customHeight="1">
      <c r="A262" s="13"/>
      <c r="B262" s="13"/>
      <c r="C262" s="13"/>
      <c r="D262" s="8"/>
      <c r="E262" s="8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22"/>
      <c r="Q262" s="22"/>
      <c r="R262" s="22"/>
      <c r="S262" s="22"/>
      <c r="T262" s="22"/>
      <c r="U262" s="22"/>
      <c r="V262" s="14"/>
      <c r="W262" s="14"/>
      <c r="X262" s="14"/>
      <c r="Y262" s="14"/>
      <c r="Z262" s="14"/>
      <c r="AA262" s="14"/>
      <c r="AB262" s="14"/>
      <c r="AC262" s="14"/>
    </row>
    <row r="263" spans="1:29" s="5" customFormat="1" ht="12.75" customHeight="1" thickBot="1">
      <c r="A263" s="38" t="s">
        <v>14</v>
      </c>
      <c r="B263" s="38"/>
      <c r="C263" s="38"/>
      <c r="D263" s="39"/>
      <c r="E263" s="39"/>
      <c r="F263" s="39" t="s">
        <v>15</v>
      </c>
      <c r="G263" s="39" t="s">
        <v>16</v>
      </c>
      <c r="H263" s="39" t="s">
        <v>17</v>
      </c>
      <c r="I263" s="39" t="s">
        <v>18</v>
      </c>
      <c r="J263" s="39" t="s">
        <v>23</v>
      </c>
      <c r="K263" s="39" t="s">
        <v>25</v>
      </c>
      <c r="L263" s="39" t="s">
        <v>26</v>
      </c>
      <c r="M263" s="39" t="s">
        <v>40</v>
      </c>
      <c r="N263" s="39" t="s">
        <v>46</v>
      </c>
      <c r="O263" s="39" t="s">
        <v>47</v>
      </c>
      <c r="P263" s="39" t="s">
        <v>48</v>
      </c>
      <c r="Q263" s="39" t="s">
        <v>52</v>
      </c>
      <c r="R263" s="40" t="s">
        <v>55</v>
      </c>
      <c r="S263" s="40" t="s">
        <v>57</v>
      </c>
      <c r="T263" s="40" t="s">
        <v>60</v>
      </c>
      <c r="U263" s="40" t="s">
        <v>62</v>
      </c>
      <c r="V263" s="40" t="s">
        <v>65</v>
      </c>
      <c r="W263" s="40" t="s">
        <v>67</v>
      </c>
      <c r="X263" s="40" t="s">
        <v>69</v>
      </c>
      <c r="Y263" s="40" t="s">
        <v>71</v>
      </c>
      <c r="Z263" s="40" t="s">
        <v>74</v>
      </c>
      <c r="AA263" s="40" t="s">
        <v>79</v>
      </c>
      <c r="AB263" s="40" t="s">
        <v>87</v>
      </c>
      <c r="AC263" s="40" t="s">
        <v>116</v>
      </c>
    </row>
    <row r="264" spans="1:29" s="5" customFormat="1" ht="12.75" customHeight="1">
      <c r="A264" s="24" t="s">
        <v>11</v>
      </c>
      <c r="B264" s="9"/>
      <c r="C264" s="9"/>
      <c r="D264" s="10"/>
      <c r="E264" s="10"/>
      <c r="F264" s="10">
        <f t="shared" ref="F264:K264" si="297">F265+F271+F277</f>
        <v>16977</v>
      </c>
      <c r="G264" s="10">
        <f t="shared" si="297"/>
        <v>17856</v>
      </c>
      <c r="H264" s="10">
        <f t="shared" si="297"/>
        <v>18325</v>
      </c>
      <c r="I264" s="10">
        <f t="shared" si="297"/>
        <v>18008</v>
      </c>
      <c r="J264" s="10">
        <f t="shared" si="297"/>
        <v>18739</v>
      </c>
      <c r="K264" s="10">
        <f t="shared" si="297"/>
        <v>17764</v>
      </c>
      <c r="L264" s="10">
        <f t="shared" ref="L264:AC264" si="298">L265+L271+L277</f>
        <v>17718</v>
      </c>
      <c r="M264" s="10">
        <f t="shared" si="298"/>
        <v>17608</v>
      </c>
      <c r="N264" s="10">
        <f t="shared" si="298"/>
        <v>18529</v>
      </c>
      <c r="O264" s="10">
        <f t="shared" si="298"/>
        <v>18090</v>
      </c>
      <c r="P264" s="9">
        <f t="shared" si="298"/>
        <v>18557</v>
      </c>
      <c r="Q264" s="9">
        <f t="shared" si="298"/>
        <v>18767</v>
      </c>
      <c r="R264" s="9">
        <f t="shared" si="298"/>
        <v>19636</v>
      </c>
      <c r="S264" s="9">
        <f t="shared" ref="S264:AB264" si="299">S265+S271+S277</f>
        <v>20120</v>
      </c>
      <c r="T264" s="9">
        <f t="shared" si="299"/>
        <v>21690</v>
      </c>
      <c r="U264" s="9">
        <f t="shared" si="299"/>
        <v>22001</v>
      </c>
      <c r="V264" s="10">
        <f t="shared" si="299"/>
        <v>24395</v>
      </c>
      <c r="W264" s="10">
        <f t="shared" si="299"/>
        <v>25425</v>
      </c>
      <c r="X264" s="10">
        <f t="shared" si="299"/>
        <v>25675</v>
      </c>
      <c r="Y264" s="10">
        <f t="shared" si="299"/>
        <v>25946</v>
      </c>
      <c r="Z264" s="10">
        <f t="shared" si="299"/>
        <v>26789</v>
      </c>
      <c r="AA264" s="10">
        <f t="shared" si="299"/>
        <v>26961.62</v>
      </c>
      <c r="AB264" s="10">
        <f t="shared" si="299"/>
        <v>26851.25</v>
      </c>
      <c r="AC264" s="10">
        <f t="shared" si="298"/>
        <v>27088.25</v>
      </c>
    </row>
    <row r="265" spans="1:29" s="5" customFormat="1" ht="12.75" customHeight="1">
      <c r="A265" s="9" t="s">
        <v>19</v>
      </c>
      <c r="B265" s="9"/>
      <c r="C265" s="9"/>
      <c r="D265" s="10"/>
      <c r="E265" s="10"/>
      <c r="F265" s="10">
        <f t="shared" ref="F265:O265" si="300">SUM(F266:F269)</f>
        <v>1040</v>
      </c>
      <c r="G265" s="10">
        <f t="shared" si="300"/>
        <v>1228</v>
      </c>
      <c r="H265" s="10">
        <f t="shared" si="300"/>
        <v>1319</v>
      </c>
      <c r="I265" s="10">
        <f t="shared" si="300"/>
        <v>1049</v>
      </c>
      <c r="J265" s="10">
        <f t="shared" si="300"/>
        <v>967</v>
      </c>
      <c r="K265" s="10">
        <v>1105</v>
      </c>
      <c r="L265" s="10">
        <v>1006</v>
      </c>
      <c r="M265" s="10">
        <v>1043</v>
      </c>
      <c r="N265" s="10">
        <v>1231</v>
      </c>
      <c r="O265" s="10">
        <f t="shared" si="300"/>
        <v>1152</v>
      </c>
      <c r="P265" s="9">
        <f t="shared" ref="P265:AC265" si="301">SUM(P266:P269)</f>
        <v>1380</v>
      </c>
      <c r="Q265" s="9">
        <f t="shared" si="301"/>
        <v>1187</v>
      </c>
      <c r="R265" s="9">
        <f t="shared" si="301"/>
        <v>1241</v>
      </c>
      <c r="S265" s="9">
        <f t="shared" si="301"/>
        <v>1116</v>
      </c>
      <c r="T265" s="9">
        <f t="shared" si="301"/>
        <v>1382</v>
      </c>
      <c r="U265" s="9">
        <f t="shared" ref="U265:AB265" si="302">SUM(U266:U269)</f>
        <v>1446</v>
      </c>
      <c r="V265" s="10">
        <f t="shared" si="302"/>
        <v>1579</v>
      </c>
      <c r="W265" s="10">
        <f t="shared" si="302"/>
        <v>1917</v>
      </c>
      <c r="X265" s="10">
        <f t="shared" si="302"/>
        <v>2049</v>
      </c>
      <c r="Y265" s="10">
        <f t="shared" si="302"/>
        <v>2116</v>
      </c>
      <c r="Z265" s="10">
        <f t="shared" si="302"/>
        <v>1927</v>
      </c>
      <c r="AA265" s="10">
        <f t="shared" si="302"/>
        <v>2014.3500000000001</v>
      </c>
      <c r="AB265" s="10">
        <f t="shared" si="302"/>
        <v>1745.79</v>
      </c>
      <c r="AC265" s="10">
        <f t="shared" si="301"/>
        <v>1721.45</v>
      </c>
    </row>
    <row r="266" spans="1:29" ht="12.75" customHeight="1">
      <c r="A266" s="8" t="s">
        <v>2</v>
      </c>
      <c r="B266" s="8"/>
      <c r="C266" s="8"/>
      <c r="D266" s="8"/>
      <c r="E266" s="8"/>
      <c r="F266" s="14"/>
      <c r="G266" s="14"/>
      <c r="H266" s="14"/>
      <c r="I266" s="14"/>
      <c r="J266" s="14"/>
      <c r="K266" s="12">
        <v>0</v>
      </c>
      <c r="L266" s="12">
        <v>0</v>
      </c>
      <c r="M266" s="12">
        <v>0</v>
      </c>
      <c r="N266" s="12">
        <v>0</v>
      </c>
      <c r="O266" s="14">
        <v>0</v>
      </c>
      <c r="P266" s="22">
        <v>0</v>
      </c>
      <c r="Q266" s="22">
        <v>0</v>
      </c>
      <c r="R266" s="22"/>
      <c r="S266" s="22">
        <v>0</v>
      </c>
      <c r="T266" s="22">
        <v>0</v>
      </c>
      <c r="U266" s="22">
        <v>0</v>
      </c>
      <c r="V266" s="22">
        <v>0</v>
      </c>
      <c r="W266" s="14">
        <v>0</v>
      </c>
      <c r="X266" s="14">
        <v>0</v>
      </c>
      <c r="Y266" s="14">
        <v>0</v>
      </c>
      <c r="Z266" s="14">
        <v>0</v>
      </c>
      <c r="AA266" s="19">
        <v>0</v>
      </c>
      <c r="AB266" s="19">
        <v>0</v>
      </c>
      <c r="AC266" s="19">
        <v>0</v>
      </c>
    </row>
    <row r="267" spans="1:29" ht="12.75" customHeight="1">
      <c r="A267" s="8" t="s">
        <v>3</v>
      </c>
      <c r="B267" s="8"/>
      <c r="C267" s="8"/>
      <c r="D267" s="8"/>
      <c r="E267" s="8"/>
      <c r="F267" s="14"/>
      <c r="G267" s="14"/>
      <c r="H267" s="14"/>
      <c r="I267" s="14"/>
      <c r="J267" s="14"/>
      <c r="K267" s="12">
        <v>9</v>
      </c>
      <c r="L267" s="12">
        <v>0</v>
      </c>
      <c r="M267" s="12">
        <v>0</v>
      </c>
      <c r="N267" s="12">
        <v>4</v>
      </c>
      <c r="O267" s="14">
        <v>0</v>
      </c>
      <c r="P267" s="22">
        <v>0</v>
      </c>
      <c r="Q267" s="22">
        <v>0</v>
      </c>
      <c r="R267" s="22"/>
      <c r="S267" s="22">
        <v>0</v>
      </c>
      <c r="T267" s="22">
        <v>0</v>
      </c>
      <c r="U267" s="22">
        <v>0</v>
      </c>
      <c r="V267" s="22">
        <v>0</v>
      </c>
      <c r="W267" s="22">
        <v>0</v>
      </c>
      <c r="X267" s="22">
        <v>0</v>
      </c>
      <c r="Y267" s="22">
        <v>0</v>
      </c>
      <c r="Z267" s="22">
        <v>0</v>
      </c>
      <c r="AA267" s="20">
        <v>0.2</v>
      </c>
      <c r="AB267" s="20">
        <v>0</v>
      </c>
      <c r="AC267" s="20">
        <v>0</v>
      </c>
    </row>
    <row r="268" spans="1:29" ht="12.75" customHeight="1">
      <c r="A268" s="8" t="s">
        <v>12</v>
      </c>
      <c r="B268" s="8"/>
      <c r="C268" s="8"/>
      <c r="D268" s="8"/>
      <c r="E268" s="8"/>
      <c r="F268" s="12">
        <v>623</v>
      </c>
      <c r="G268" s="12">
        <f>738</f>
        <v>738</v>
      </c>
      <c r="H268" s="12">
        <f>873+3</f>
        <v>876</v>
      </c>
      <c r="I268" s="12">
        <v>674</v>
      </c>
      <c r="J268" s="12">
        <f>628+6</f>
        <v>634</v>
      </c>
      <c r="K268" s="12">
        <f>K265-K266-K267-K269</f>
        <v>785</v>
      </c>
      <c r="L268" s="12">
        <f>L265-L266-L267-L269</f>
        <v>724</v>
      </c>
      <c r="M268" s="12">
        <f>M265-M266-M267-M269</f>
        <v>799</v>
      </c>
      <c r="N268" s="12">
        <f>N265-N266-N267-N269</f>
        <v>918</v>
      </c>
      <c r="O268" s="12">
        <v>828</v>
      </c>
      <c r="P268" s="21">
        <v>1039</v>
      </c>
      <c r="Q268" s="21">
        <v>829</v>
      </c>
      <c r="R268" s="21">
        <v>1011</v>
      </c>
      <c r="S268" s="21">
        <v>868</v>
      </c>
      <c r="T268" s="21">
        <v>1089</v>
      </c>
      <c r="U268" s="21">
        <v>1158</v>
      </c>
      <c r="V268" s="21">
        <v>1312</v>
      </c>
      <c r="W268" s="19">
        <v>1734</v>
      </c>
      <c r="X268" s="19">
        <v>1993</v>
      </c>
      <c r="Y268" s="19">
        <v>1854</v>
      </c>
      <c r="Z268" s="19">
        <v>1772</v>
      </c>
      <c r="AA268" s="19">
        <v>1955</v>
      </c>
      <c r="AB268" s="19">
        <v>1683</v>
      </c>
      <c r="AC268" s="19">
        <v>1663</v>
      </c>
    </row>
    <row r="269" spans="1:29" ht="12.75" customHeight="1">
      <c r="A269" s="8" t="s">
        <v>24</v>
      </c>
      <c r="B269" s="8"/>
      <c r="C269" s="8"/>
      <c r="D269" s="8"/>
      <c r="E269" s="8"/>
      <c r="F269" s="12">
        <v>417</v>
      </c>
      <c r="G269" s="12">
        <v>490</v>
      </c>
      <c r="H269" s="12">
        <v>443</v>
      </c>
      <c r="I269" s="12">
        <v>375</v>
      </c>
      <c r="J269" s="12">
        <v>333</v>
      </c>
      <c r="K269" s="12">
        <v>311</v>
      </c>
      <c r="L269" s="12">
        <v>282</v>
      </c>
      <c r="M269" s="12">
        <v>244</v>
      </c>
      <c r="N269" s="12">
        <v>309</v>
      </c>
      <c r="O269" s="12">
        <v>324</v>
      </c>
      <c r="P269" s="21">
        <v>341</v>
      </c>
      <c r="Q269" s="21">
        <v>358</v>
      </c>
      <c r="R269" s="21">
        <v>230</v>
      </c>
      <c r="S269" s="21">
        <v>248</v>
      </c>
      <c r="T269" s="21">
        <v>293</v>
      </c>
      <c r="U269" s="21">
        <v>288</v>
      </c>
      <c r="V269" s="21">
        <v>267</v>
      </c>
      <c r="W269" s="20">
        <v>183</v>
      </c>
      <c r="X269" s="20">
        <v>56</v>
      </c>
      <c r="Y269" s="20">
        <v>262</v>
      </c>
      <c r="Z269" s="20">
        <v>155</v>
      </c>
      <c r="AA269" s="20">
        <v>59.15</v>
      </c>
      <c r="AB269" s="20">
        <v>62.79</v>
      </c>
      <c r="AC269" s="20">
        <v>58.45</v>
      </c>
    </row>
    <row r="270" spans="1:29" ht="12.75" customHeight="1">
      <c r="A270" s="13"/>
      <c r="B270" s="13"/>
      <c r="C270" s="13"/>
      <c r="D270" s="8"/>
      <c r="E270" s="8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</row>
    <row r="271" spans="1:29" s="5" customFormat="1" ht="12.75" customHeight="1">
      <c r="A271" s="9" t="s">
        <v>20</v>
      </c>
      <c r="B271" s="9"/>
      <c r="C271" s="9"/>
      <c r="D271" s="10"/>
      <c r="E271" s="10"/>
      <c r="F271" s="10">
        <f>F274+F275</f>
        <v>7732</v>
      </c>
      <c r="G271" s="10">
        <f>G274+G275</f>
        <v>7906</v>
      </c>
      <c r="H271" s="10">
        <f>H274+H275</f>
        <v>8233</v>
      </c>
      <c r="I271" s="10">
        <f>I274+I275</f>
        <v>8179</v>
      </c>
      <c r="J271" s="10">
        <f>J274+J275</f>
        <v>8422</v>
      </c>
      <c r="K271" s="10">
        <v>8022</v>
      </c>
      <c r="L271" s="10">
        <v>8076</v>
      </c>
      <c r="M271" s="10">
        <v>8160</v>
      </c>
      <c r="N271" s="10">
        <v>8322</v>
      </c>
      <c r="O271" s="10">
        <f>O272+O273+O274+O275</f>
        <v>8260</v>
      </c>
      <c r="P271" s="9">
        <f>P272+P273+P274+P275</f>
        <v>8093</v>
      </c>
      <c r="Q271" s="9">
        <f>Q272+Q273+Q274+Q275</f>
        <v>8628</v>
      </c>
      <c r="R271" s="9">
        <f>R272+R273+R274+R275</f>
        <v>8581</v>
      </c>
      <c r="S271" s="9">
        <f>S272+S273+S274+S275</f>
        <v>8756</v>
      </c>
      <c r="T271" s="9">
        <f t="shared" ref="T271:AA271" si="303">T272+T273+T274+T275</f>
        <v>9760</v>
      </c>
      <c r="U271" s="9">
        <f t="shared" si="303"/>
        <v>10121</v>
      </c>
      <c r="V271" s="9">
        <f t="shared" si="303"/>
        <v>11070</v>
      </c>
      <c r="W271" s="10">
        <f t="shared" si="303"/>
        <v>11352</v>
      </c>
      <c r="X271" s="10">
        <f t="shared" si="303"/>
        <v>11411</v>
      </c>
      <c r="Y271" s="10">
        <f t="shared" si="303"/>
        <v>11546</v>
      </c>
      <c r="Z271" s="10">
        <f t="shared" si="303"/>
        <v>11825</v>
      </c>
      <c r="AA271" s="10">
        <f t="shared" si="303"/>
        <v>12048.32</v>
      </c>
      <c r="AB271" s="10">
        <f>AB272+AB273+AB274+AB275</f>
        <v>12104.47</v>
      </c>
      <c r="AC271" s="10">
        <f>AC272+AC273+AC274+AC275</f>
        <v>12385.53</v>
      </c>
    </row>
    <row r="272" spans="1:29" ht="12.75" customHeight="1">
      <c r="A272" s="8" t="s">
        <v>2</v>
      </c>
      <c r="B272" s="8"/>
      <c r="C272" s="8"/>
      <c r="D272" s="8"/>
      <c r="E272" s="8"/>
      <c r="F272" s="14"/>
      <c r="G272" s="14"/>
      <c r="H272" s="14"/>
      <c r="I272" s="14"/>
      <c r="J272" s="14"/>
      <c r="K272" s="12">
        <v>0</v>
      </c>
      <c r="L272" s="12">
        <v>0</v>
      </c>
      <c r="M272" s="12">
        <v>0</v>
      </c>
      <c r="N272" s="12">
        <v>46</v>
      </c>
      <c r="O272" s="12">
        <v>0</v>
      </c>
      <c r="P272" s="21">
        <v>0</v>
      </c>
      <c r="Q272" s="21">
        <v>0</v>
      </c>
      <c r="R272" s="21">
        <v>0</v>
      </c>
      <c r="S272" s="21">
        <v>0</v>
      </c>
      <c r="T272" s="21">
        <v>0</v>
      </c>
      <c r="U272" s="21">
        <v>0</v>
      </c>
      <c r="V272" s="21">
        <v>0</v>
      </c>
      <c r="W272" s="19">
        <v>0</v>
      </c>
      <c r="X272" s="19">
        <v>0</v>
      </c>
      <c r="Y272" s="19">
        <v>0</v>
      </c>
      <c r="Z272" s="19">
        <v>0</v>
      </c>
      <c r="AA272" s="19">
        <v>0</v>
      </c>
      <c r="AB272" s="19">
        <v>0</v>
      </c>
      <c r="AC272" s="19">
        <v>0</v>
      </c>
    </row>
    <row r="273" spans="1:29" ht="12.75" customHeight="1">
      <c r="A273" s="8" t="s">
        <v>3</v>
      </c>
      <c r="B273" s="8"/>
      <c r="C273" s="8"/>
      <c r="D273" s="8"/>
      <c r="E273" s="8"/>
      <c r="F273" s="14"/>
      <c r="G273" s="14"/>
      <c r="H273" s="14"/>
      <c r="I273" s="14"/>
      <c r="J273" s="14"/>
      <c r="K273" s="12">
        <v>57</v>
      </c>
      <c r="L273" s="12">
        <v>9</v>
      </c>
      <c r="M273" s="12">
        <v>0</v>
      </c>
      <c r="N273" s="12">
        <v>12</v>
      </c>
      <c r="O273" s="12">
        <v>0</v>
      </c>
      <c r="P273" s="21">
        <v>0</v>
      </c>
      <c r="Q273" s="21">
        <v>0</v>
      </c>
      <c r="R273" s="21">
        <v>0</v>
      </c>
      <c r="S273" s="21">
        <v>0</v>
      </c>
      <c r="T273" s="21">
        <v>0</v>
      </c>
      <c r="U273" s="21">
        <v>0</v>
      </c>
      <c r="V273" s="21">
        <v>0</v>
      </c>
      <c r="W273" s="20">
        <v>0</v>
      </c>
      <c r="X273" s="20">
        <v>0</v>
      </c>
      <c r="Y273" s="20">
        <v>0</v>
      </c>
      <c r="Z273" s="20">
        <v>0</v>
      </c>
      <c r="AA273" s="20">
        <v>53.47</v>
      </c>
      <c r="AB273" s="20">
        <v>308.8</v>
      </c>
      <c r="AC273" s="20">
        <v>66.2</v>
      </c>
    </row>
    <row r="274" spans="1:29" ht="12.75" customHeight="1">
      <c r="A274" s="8" t="s">
        <v>12</v>
      </c>
      <c r="B274" s="8"/>
      <c r="C274" s="8"/>
      <c r="D274" s="8"/>
      <c r="E274" s="8"/>
      <c r="F274" s="12">
        <v>6808</v>
      </c>
      <c r="G274" s="12">
        <f>108+6797+29</f>
        <v>6934</v>
      </c>
      <c r="H274" s="12">
        <f>132+7180+35</f>
        <v>7347</v>
      </c>
      <c r="I274" s="12">
        <f>132+7202+59</f>
        <v>7393</v>
      </c>
      <c r="J274" s="12">
        <f>7741+21</f>
        <v>7762</v>
      </c>
      <c r="K274" s="12">
        <f>K271-K272-K273-K275</f>
        <v>7249</v>
      </c>
      <c r="L274" s="12">
        <f>L271-L272-L273-L275</f>
        <v>7481</v>
      </c>
      <c r="M274" s="12">
        <f>M271-M272-M273-M275</f>
        <v>7561</v>
      </c>
      <c r="N274" s="12">
        <f>N271-N272-N273-N275</f>
        <v>7620</v>
      </c>
      <c r="O274" s="12">
        <v>7691</v>
      </c>
      <c r="P274" s="21">
        <v>7322</v>
      </c>
      <c r="Q274" s="21">
        <v>7782</v>
      </c>
      <c r="R274" s="21">
        <v>7790</v>
      </c>
      <c r="S274" s="21">
        <v>7828</v>
      </c>
      <c r="T274" s="21">
        <v>8853</v>
      </c>
      <c r="U274" s="21">
        <v>9284</v>
      </c>
      <c r="V274" s="21">
        <v>10204</v>
      </c>
      <c r="W274" s="20">
        <v>10382</v>
      </c>
      <c r="X274" s="20">
        <v>10536</v>
      </c>
      <c r="Y274" s="20">
        <v>10604</v>
      </c>
      <c r="Z274" s="20">
        <v>10633</v>
      </c>
      <c r="AA274" s="20">
        <v>11624.06</v>
      </c>
      <c r="AB274" s="20">
        <v>11432.66</v>
      </c>
      <c r="AC274" s="20">
        <v>12000.02</v>
      </c>
    </row>
    <row r="275" spans="1:29" ht="12.75" customHeight="1">
      <c r="A275" s="8" t="s">
        <v>24</v>
      </c>
      <c r="B275" s="8"/>
      <c r="C275" s="8"/>
      <c r="D275" s="8"/>
      <c r="E275" s="8"/>
      <c r="F275" s="12">
        <v>924</v>
      </c>
      <c r="G275" s="12">
        <v>972</v>
      </c>
      <c r="H275" s="12">
        <v>886</v>
      </c>
      <c r="I275" s="12">
        <v>786</v>
      </c>
      <c r="J275" s="12">
        <v>660</v>
      </c>
      <c r="K275" s="12">
        <v>716</v>
      </c>
      <c r="L275" s="12">
        <v>586</v>
      </c>
      <c r="M275" s="12">
        <v>599</v>
      </c>
      <c r="N275" s="12">
        <v>644</v>
      </c>
      <c r="O275" s="12">
        <v>569</v>
      </c>
      <c r="P275" s="21">
        <v>771</v>
      </c>
      <c r="Q275" s="21">
        <v>846</v>
      </c>
      <c r="R275" s="21">
        <v>791</v>
      </c>
      <c r="S275" s="21">
        <v>928</v>
      </c>
      <c r="T275" s="21">
        <v>907</v>
      </c>
      <c r="U275" s="21">
        <v>837</v>
      </c>
      <c r="V275" s="21">
        <v>866</v>
      </c>
      <c r="W275" s="20">
        <v>970</v>
      </c>
      <c r="X275" s="20">
        <v>875</v>
      </c>
      <c r="Y275" s="20">
        <v>942</v>
      </c>
      <c r="Z275" s="20">
        <v>1192</v>
      </c>
      <c r="AA275" s="20">
        <v>370.79</v>
      </c>
      <c r="AB275" s="20">
        <v>363.01</v>
      </c>
      <c r="AC275" s="20">
        <v>319.31</v>
      </c>
    </row>
    <row r="276" spans="1:29" ht="12.75" customHeight="1">
      <c r="A276" s="13"/>
      <c r="B276" s="13"/>
      <c r="C276" s="13"/>
      <c r="D276" s="8"/>
      <c r="E276" s="8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21"/>
      <c r="Q276" s="21"/>
      <c r="R276" s="21"/>
      <c r="S276" s="21"/>
      <c r="T276" s="21"/>
      <c r="U276" s="21"/>
      <c r="V276" s="21"/>
      <c r="W276" s="12"/>
      <c r="X276" s="12"/>
      <c r="Y276" s="12"/>
      <c r="Z276" s="12"/>
      <c r="AA276" s="12"/>
      <c r="AB276" s="12"/>
      <c r="AC276" s="12"/>
    </row>
    <row r="277" spans="1:29" s="5" customFormat="1" ht="12.75" customHeight="1">
      <c r="A277" s="9" t="s">
        <v>21</v>
      </c>
      <c r="B277" s="9"/>
      <c r="C277" s="9"/>
      <c r="D277" s="10"/>
      <c r="E277" s="10"/>
      <c r="F277" s="10">
        <f>F280+F281</f>
        <v>8205</v>
      </c>
      <c r="G277" s="10">
        <f>G280+G281</f>
        <v>8722</v>
      </c>
      <c r="H277" s="10">
        <f>H280+H281</f>
        <v>8773</v>
      </c>
      <c r="I277" s="10">
        <f>I280+I281</f>
        <v>8780</v>
      </c>
      <c r="J277" s="10">
        <f>J280+J281</f>
        <v>9350</v>
      </c>
      <c r="K277" s="10">
        <v>8637</v>
      </c>
      <c r="L277" s="10">
        <v>8636</v>
      </c>
      <c r="M277" s="10">
        <v>8405</v>
      </c>
      <c r="N277" s="10">
        <v>8976</v>
      </c>
      <c r="O277" s="10">
        <f>O278+O279+O280+O281</f>
        <v>8678</v>
      </c>
      <c r="P277" s="9">
        <f>P278+P279+P280+P281</f>
        <v>9084</v>
      </c>
      <c r="Q277" s="9">
        <f>Q278+Q279+Q280+Q281</f>
        <v>8952</v>
      </c>
      <c r="R277" s="9">
        <f>R278+R279+R280+R281</f>
        <v>9814</v>
      </c>
      <c r="S277" s="9">
        <f>S278+S279+S280+S281</f>
        <v>10248</v>
      </c>
      <c r="T277" s="9">
        <f t="shared" ref="T277:AA277" si="304">T278+T279+T280+T281</f>
        <v>10548</v>
      </c>
      <c r="U277" s="9">
        <f t="shared" si="304"/>
        <v>10434</v>
      </c>
      <c r="V277" s="9">
        <f t="shared" si="304"/>
        <v>11746</v>
      </c>
      <c r="W277" s="10">
        <f t="shared" si="304"/>
        <v>12156</v>
      </c>
      <c r="X277" s="10">
        <f t="shared" si="304"/>
        <v>12215</v>
      </c>
      <c r="Y277" s="10">
        <f t="shared" si="304"/>
        <v>12284</v>
      </c>
      <c r="Z277" s="10">
        <f t="shared" si="304"/>
        <v>13037</v>
      </c>
      <c r="AA277" s="10">
        <f t="shared" si="304"/>
        <v>12898.949999999999</v>
      </c>
      <c r="AB277" s="10">
        <f>AB278+AB279+AB280+AB281</f>
        <v>13000.99</v>
      </c>
      <c r="AC277" s="10">
        <f>AC278+AC279+AC280+AC281</f>
        <v>12981.269999999999</v>
      </c>
    </row>
    <row r="278" spans="1:29" ht="12.75" customHeight="1">
      <c r="A278" s="8" t="s">
        <v>2</v>
      </c>
      <c r="B278" s="8"/>
      <c r="C278" s="8"/>
      <c r="D278" s="8"/>
      <c r="E278" s="8"/>
      <c r="F278" s="14"/>
      <c r="G278" s="14"/>
      <c r="H278" s="14"/>
      <c r="I278" s="14"/>
      <c r="J278" s="14"/>
      <c r="K278" s="12">
        <v>4</v>
      </c>
      <c r="L278" s="12">
        <v>0</v>
      </c>
      <c r="M278" s="12">
        <v>0</v>
      </c>
      <c r="N278" s="12">
        <v>66</v>
      </c>
      <c r="O278" s="12">
        <v>13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21">
        <v>0</v>
      </c>
      <c r="W278" s="19">
        <v>0</v>
      </c>
      <c r="X278" s="19">
        <v>0</v>
      </c>
      <c r="Y278" s="19">
        <v>0</v>
      </c>
      <c r="Z278" s="19">
        <v>0</v>
      </c>
      <c r="AA278" s="19">
        <v>0</v>
      </c>
      <c r="AB278" s="19">
        <v>0</v>
      </c>
      <c r="AC278" s="19">
        <v>0</v>
      </c>
    </row>
    <row r="279" spans="1:29" ht="12.75" customHeight="1">
      <c r="A279" s="8" t="s">
        <v>3</v>
      </c>
      <c r="B279" s="8"/>
      <c r="C279" s="8"/>
      <c r="D279" s="8"/>
      <c r="E279" s="8"/>
      <c r="F279" s="14"/>
      <c r="G279" s="14"/>
      <c r="H279" s="14"/>
      <c r="I279" s="14"/>
      <c r="J279" s="14"/>
      <c r="K279" s="12">
        <v>22</v>
      </c>
      <c r="L279" s="12">
        <v>9</v>
      </c>
      <c r="M279" s="12">
        <v>9</v>
      </c>
      <c r="N279" s="12">
        <v>15</v>
      </c>
      <c r="O279" s="12">
        <v>0</v>
      </c>
      <c r="P279" s="21">
        <v>0</v>
      </c>
      <c r="Q279" s="21">
        <v>0</v>
      </c>
      <c r="R279" s="21">
        <v>0</v>
      </c>
      <c r="S279" s="21">
        <v>0</v>
      </c>
      <c r="T279" s="21">
        <v>0</v>
      </c>
      <c r="U279" s="21">
        <v>0</v>
      </c>
      <c r="V279" s="21">
        <v>0</v>
      </c>
      <c r="W279" s="20">
        <v>0</v>
      </c>
      <c r="X279" s="20">
        <v>0</v>
      </c>
      <c r="Y279" s="20">
        <v>0</v>
      </c>
      <c r="Z279" s="20">
        <v>0</v>
      </c>
      <c r="AA279" s="20">
        <v>475.77</v>
      </c>
      <c r="AB279" s="20">
        <v>563.29999999999995</v>
      </c>
      <c r="AC279" s="20">
        <v>437.55</v>
      </c>
    </row>
    <row r="280" spans="1:29" ht="12.75" customHeight="1">
      <c r="A280" s="8" t="s">
        <v>12</v>
      </c>
      <c r="B280" s="8"/>
      <c r="C280" s="8"/>
      <c r="D280" s="8"/>
      <c r="E280" s="8"/>
      <c r="F280" s="12">
        <v>7117</v>
      </c>
      <c r="G280" s="12">
        <f>187+7373+49</f>
        <v>7609</v>
      </c>
      <c r="H280" s="12">
        <f>189+7492+205</f>
        <v>7886</v>
      </c>
      <c r="I280" s="12">
        <f>167+7610+240</f>
        <v>8017</v>
      </c>
      <c r="J280" s="12">
        <v>8589</v>
      </c>
      <c r="K280" s="12">
        <f>K277-K278-K279-K281</f>
        <v>8031</v>
      </c>
      <c r="L280" s="12">
        <f>L277-L278-L279-L281</f>
        <v>8057</v>
      </c>
      <c r="M280" s="12">
        <f>M277-M278-M279-M281</f>
        <v>7816</v>
      </c>
      <c r="N280" s="12">
        <f>N277-N278-N279-N281</f>
        <v>8154</v>
      </c>
      <c r="O280" s="12">
        <v>7949</v>
      </c>
      <c r="P280" s="21">
        <v>8335</v>
      </c>
      <c r="Q280" s="21">
        <v>8226</v>
      </c>
      <c r="R280" s="21">
        <v>9100</v>
      </c>
      <c r="S280" s="21">
        <v>9495</v>
      </c>
      <c r="T280" s="21">
        <v>9805</v>
      </c>
      <c r="U280" s="21">
        <v>9614</v>
      </c>
      <c r="V280" s="21">
        <v>11015</v>
      </c>
      <c r="W280" s="20">
        <v>11364</v>
      </c>
      <c r="X280" s="20">
        <v>11415</v>
      </c>
      <c r="Y280" s="20">
        <v>11531</v>
      </c>
      <c r="Z280" s="20">
        <v>11899</v>
      </c>
      <c r="AA280" s="20">
        <v>12169.22</v>
      </c>
      <c r="AB280" s="20">
        <v>12153.32</v>
      </c>
      <c r="AC280" s="20">
        <v>12261.73</v>
      </c>
    </row>
    <row r="281" spans="1:29" ht="12.75" customHeight="1">
      <c r="A281" s="8" t="s">
        <v>24</v>
      </c>
      <c r="B281" s="8"/>
      <c r="C281" s="8"/>
      <c r="D281" s="8"/>
      <c r="E281" s="8"/>
      <c r="F281" s="12">
        <v>1088</v>
      </c>
      <c r="G281" s="12">
        <v>1113</v>
      </c>
      <c r="H281" s="12">
        <v>887</v>
      </c>
      <c r="I281" s="12">
        <v>763</v>
      </c>
      <c r="J281" s="12">
        <v>761</v>
      </c>
      <c r="K281" s="12">
        <v>580</v>
      </c>
      <c r="L281" s="12">
        <v>570</v>
      </c>
      <c r="M281" s="12">
        <v>580</v>
      </c>
      <c r="N281" s="12">
        <v>741</v>
      </c>
      <c r="O281" s="12">
        <v>716</v>
      </c>
      <c r="P281" s="21">
        <v>749</v>
      </c>
      <c r="Q281" s="21">
        <v>726</v>
      </c>
      <c r="R281" s="21">
        <v>714</v>
      </c>
      <c r="S281" s="21">
        <v>753</v>
      </c>
      <c r="T281" s="21">
        <v>743</v>
      </c>
      <c r="U281" s="21">
        <v>820</v>
      </c>
      <c r="V281" s="21">
        <v>731</v>
      </c>
      <c r="W281" s="20">
        <v>792</v>
      </c>
      <c r="X281" s="20">
        <v>800</v>
      </c>
      <c r="Y281" s="20">
        <v>753</v>
      </c>
      <c r="Z281" s="20">
        <v>1138</v>
      </c>
      <c r="AA281" s="20">
        <v>253.96</v>
      </c>
      <c r="AB281" s="20">
        <v>284.37</v>
      </c>
      <c r="AC281" s="20">
        <v>281.99</v>
      </c>
    </row>
    <row r="282" spans="1:29" ht="12.75" customHeight="1">
      <c r="A282" s="13"/>
      <c r="B282" s="13"/>
      <c r="C282" s="13"/>
      <c r="D282" s="8"/>
      <c r="E282" s="8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21"/>
      <c r="Q282" s="21"/>
      <c r="R282" s="21"/>
      <c r="S282" s="21"/>
      <c r="T282" s="21"/>
      <c r="U282" s="21"/>
      <c r="V282" s="21"/>
      <c r="W282" s="12"/>
      <c r="X282" s="12"/>
      <c r="Y282" s="12"/>
      <c r="Z282" s="12"/>
      <c r="AA282" s="12"/>
      <c r="AB282" s="12"/>
      <c r="AC282" s="12"/>
    </row>
    <row r="283" spans="1:29" s="5" customFormat="1" ht="12.75" customHeight="1">
      <c r="A283" s="9" t="s">
        <v>22</v>
      </c>
      <c r="B283" s="9"/>
      <c r="C283" s="9"/>
      <c r="D283" s="10"/>
      <c r="E283" s="10"/>
      <c r="F283" s="10">
        <f>F265+F271+F277</f>
        <v>16977</v>
      </c>
      <c r="G283" s="10">
        <f>G265+G271+G277</f>
        <v>17856</v>
      </c>
      <c r="H283" s="10">
        <f>H265+H271+H277</f>
        <v>18325</v>
      </c>
      <c r="I283" s="10">
        <f>I265+I271+I277</f>
        <v>18008</v>
      </c>
      <c r="J283" s="10">
        <f>J265+J271+J277</f>
        <v>18739</v>
      </c>
      <c r="K283" s="10">
        <f>SUM(K284:K287)</f>
        <v>17764</v>
      </c>
      <c r="L283" s="10">
        <f>SUM(L284:L287)</f>
        <v>17718</v>
      </c>
      <c r="M283" s="10">
        <f>SUM(M284:M287)</f>
        <v>17608</v>
      </c>
      <c r="N283" s="10">
        <f>SUM(N284:N287)</f>
        <v>18529</v>
      </c>
      <c r="O283" s="10">
        <f>O265+O271+O277</f>
        <v>18090</v>
      </c>
      <c r="P283" s="9">
        <f t="shared" ref="P283:R287" si="305">P265+P271+P277</f>
        <v>18557</v>
      </c>
      <c r="Q283" s="9">
        <f t="shared" si="305"/>
        <v>18767</v>
      </c>
      <c r="R283" s="9">
        <f t="shared" si="305"/>
        <v>19636</v>
      </c>
      <c r="S283" s="9">
        <f>S265+S271+S277</f>
        <v>20120</v>
      </c>
      <c r="T283" s="9">
        <f t="shared" ref="T283:V287" si="306">T265+T271+T277</f>
        <v>21690</v>
      </c>
      <c r="U283" s="9">
        <f t="shared" si="306"/>
        <v>22001</v>
      </c>
      <c r="V283" s="10">
        <f t="shared" si="306"/>
        <v>24395</v>
      </c>
      <c r="W283" s="10">
        <f>W265+W271+W277</f>
        <v>25425</v>
      </c>
      <c r="X283" s="10">
        <f t="shared" ref="X283:Z287" si="307">X265+X271+X277</f>
        <v>25675</v>
      </c>
      <c r="Y283" s="10">
        <f t="shared" si="307"/>
        <v>25946</v>
      </c>
      <c r="Z283" s="10">
        <f t="shared" si="307"/>
        <v>26789</v>
      </c>
      <c r="AA283" s="10">
        <f t="shared" ref="AA283:AC287" si="308">AA265+AA271+AA277</f>
        <v>26961.62</v>
      </c>
      <c r="AB283" s="10">
        <f t="shared" ref="AB283" si="309">AB265+AB271+AB277</f>
        <v>26851.25</v>
      </c>
      <c r="AC283" s="10">
        <f t="shared" si="308"/>
        <v>27088.25</v>
      </c>
    </row>
    <row r="284" spans="1:29" s="5" customFormat="1" ht="12.75" customHeight="1">
      <c r="A284" s="98" t="s">
        <v>2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>
        <f t="shared" ref="K284:N287" si="310">K266+K272+K278</f>
        <v>4</v>
      </c>
      <c r="L284" s="10">
        <f t="shared" si="310"/>
        <v>0</v>
      </c>
      <c r="M284" s="10">
        <f t="shared" si="310"/>
        <v>0</v>
      </c>
      <c r="N284" s="10">
        <f t="shared" si="310"/>
        <v>112</v>
      </c>
      <c r="O284" s="10">
        <f>O266+O272+O278</f>
        <v>13</v>
      </c>
      <c r="P284" s="9">
        <f t="shared" si="305"/>
        <v>0</v>
      </c>
      <c r="Q284" s="9">
        <f t="shared" si="305"/>
        <v>0</v>
      </c>
      <c r="R284" s="9">
        <f t="shared" si="305"/>
        <v>0</v>
      </c>
      <c r="S284" s="9">
        <f>S266+S272+S278</f>
        <v>0</v>
      </c>
      <c r="T284" s="9">
        <f t="shared" si="306"/>
        <v>0</v>
      </c>
      <c r="U284" s="9">
        <f t="shared" si="306"/>
        <v>0</v>
      </c>
      <c r="V284" s="10">
        <f t="shared" si="306"/>
        <v>0</v>
      </c>
      <c r="W284" s="10">
        <f>W266+W272+W278</f>
        <v>0</v>
      </c>
      <c r="X284" s="10">
        <f t="shared" si="307"/>
        <v>0</v>
      </c>
      <c r="Y284" s="10">
        <f t="shared" si="307"/>
        <v>0</v>
      </c>
      <c r="Z284" s="10">
        <f t="shared" si="307"/>
        <v>0</v>
      </c>
      <c r="AA284" s="10">
        <f t="shared" si="308"/>
        <v>0</v>
      </c>
      <c r="AB284" s="10">
        <f t="shared" ref="AB284" si="311">AB266+AB272+AB278</f>
        <v>0</v>
      </c>
      <c r="AC284" s="10">
        <f t="shared" si="308"/>
        <v>0</v>
      </c>
    </row>
    <row r="285" spans="1:29" s="5" customFormat="1" ht="12.75" customHeight="1">
      <c r="A285" s="98" t="s">
        <v>3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>
        <f t="shared" si="310"/>
        <v>88</v>
      </c>
      <c r="L285" s="10">
        <f t="shared" si="310"/>
        <v>18</v>
      </c>
      <c r="M285" s="10">
        <f t="shared" si="310"/>
        <v>9</v>
      </c>
      <c r="N285" s="10">
        <f t="shared" si="310"/>
        <v>31</v>
      </c>
      <c r="O285" s="10">
        <f>O267+O273+O279</f>
        <v>0</v>
      </c>
      <c r="P285" s="9">
        <f t="shared" si="305"/>
        <v>0</v>
      </c>
      <c r="Q285" s="9">
        <f t="shared" si="305"/>
        <v>0</v>
      </c>
      <c r="R285" s="9">
        <f t="shared" si="305"/>
        <v>0</v>
      </c>
      <c r="S285" s="9">
        <f>S267+S273+S279</f>
        <v>0</v>
      </c>
      <c r="T285" s="9">
        <f t="shared" si="306"/>
        <v>0</v>
      </c>
      <c r="U285" s="9">
        <f t="shared" si="306"/>
        <v>0</v>
      </c>
      <c r="V285" s="10">
        <f t="shared" si="306"/>
        <v>0</v>
      </c>
      <c r="W285" s="10">
        <f>W267+W273+W279</f>
        <v>0</v>
      </c>
      <c r="X285" s="10">
        <f t="shared" si="307"/>
        <v>0</v>
      </c>
      <c r="Y285" s="10">
        <f t="shared" si="307"/>
        <v>0</v>
      </c>
      <c r="Z285" s="10">
        <f t="shared" si="307"/>
        <v>0</v>
      </c>
      <c r="AA285" s="10">
        <f t="shared" si="308"/>
        <v>529.43999999999994</v>
      </c>
      <c r="AB285" s="10">
        <f t="shared" ref="AB285" si="312">AB267+AB273+AB279</f>
        <v>872.09999999999991</v>
      </c>
      <c r="AC285" s="10">
        <f t="shared" si="308"/>
        <v>503.75</v>
      </c>
    </row>
    <row r="286" spans="1:29" s="5" customFormat="1" ht="12.75" customHeight="1">
      <c r="A286" s="97" t="s">
        <v>12</v>
      </c>
      <c r="B286" s="10"/>
      <c r="C286" s="10"/>
      <c r="D286" s="10"/>
      <c r="E286" s="10"/>
      <c r="F286" s="10">
        <f t="shared" ref="F286:J287" si="313">F268+F274+F280</f>
        <v>14548</v>
      </c>
      <c r="G286" s="10">
        <f t="shared" si="313"/>
        <v>15281</v>
      </c>
      <c r="H286" s="10">
        <f t="shared" si="313"/>
        <v>16109</v>
      </c>
      <c r="I286" s="10">
        <f t="shared" si="313"/>
        <v>16084</v>
      </c>
      <c r="J286" s="10">
        <f t="shared" si="313"/>
        <v>16985</v>
      </c>
      <c r="K286" s="10">
        <f t="shared" si="310"/>
        <v>16065</v>
      </c>
      <c r="L286" s="10">
        <f t="shared" si="310"/>
        <v>16262</v>
      </c>
      <c r="M286" s="10">
        <f t="shared" si="310"/>
        <v>16176</v>
      </c>
      <c r="N286" s="10">
        <f t="shared" si="310"/>
        <v>16692</v>
      </c>
      <c r="O286" s="10">
        <f>O268+O274+O280</f>
        <v>16468</v>
      </c>
      <c r="P286" s="9">
        <f t="shared" si="305"/>
        <v>16696</v>
      </c>
      <c r="Q286" s="9">
        <f t="shared" si="305"/>
        <v>16837</v>
      </c>
      <c r="R286" s="9">
        <f t="shared" si="305"/>
        <v>17901</v>
      </c>
      <c r="S286" s="9">
        <f>S268+S274+S280</f>
        <v>18191</v>
      </c>
      <c r="T286" s="9">
        <f t="shared" si="306"/>
        <v>19747</v>
      </c>
      <c r="U286" s="9">
        <f t="shared" si="306"/>
        <v>20056</v>
      </c>
      <c r="V286" s="10">
        <f t="shared" si="306"/>
        <v>22531</v>
      </c>
      <c r="W286" s="10">
        <f>W268+W274+W280</f>
        <v>23480</v>
      </c>
      <c r="X286" s="10">
        <f t="shared" si="307"/>
        <v>23944</v>
      </c>
      <c r="Y286" s="10">
        <f t="shared" si="307"/>
        <v>23989</v>
      </c>
      <c r="Z286" s="10">
        <f t="shared" si="307"/>
        <v>24304</v>
      </c>
      <c r="AA286" s="10">
        <f t="shared" si="308"/>
        <v>25748.28</v>
      </c>
      <c r="AB286" s="10">
        <f t="shared" ref="AB286" si="314">AB268+AB274+AB280</f>
        <v>25268.98</v>
      </c>
      <c r="AC286" s="10">
        <f t="shared" si="308"/>
        <v>25924.75</v>
      </c>
    </row>
    <row r="287" spans="1:29" s="5" customFormat="1" ht="12.75" customHeight="1">
      <c r="A287" s="97" t="s">
        <v>24</v>
      </c>
      <c r="B287" s="10"/>
      <c r="C287" s="10"/>
      <c r="D287" s="10"/>
      <c r="E287" s="10"/>
      <c r="F287" s="10">
        <f t="shared" si="313"/>
        <v>2429</v>
      </c>
      <c r="G287" s="10">
        <f t="shared" si="313"/>
        <v>2575</v>
      </c>
      <c r="H287" s="10">
        <f t="shared" si="313"/>
        <v>2216</v>
      </c>
      <c r="I287" s="10">
        <f t="shared" si="313"/>
        <v>1924</v>
      </c>
      <c r="J287" s="10">
        <f t="shared" si="313"/>
        <v>1754</v>
      </c>
      <c r="K287" s="10">
        <f t="shared" si="310"/>
        <v>1607</v>
      </c>
      <c r="L287" s="10">
        <f t="shared" si="310"/>
        <v>1438</v>
      </c>
      <c r="M287" s="10">
        <f t="shared" si="310"/>
        <v>1423</v>
      </c>
      <c r="N287" s="10">
        <f t="shared" si="310"/>
        <v>1694</v>
      </c>
      <c r="O287" s="10">
        <f>O269+O275+O281</f>
        <v>1609</v>
      </c>
      <c r="P287" s="9">
        <f t="shared" si="305"/>
        <v>1861</v>
      </c>
      <c r="Q287" s="9">
        <f t="shared" si="305"/>
        <v>1930</v>
      </c>
      <c r="R287" s="9">
        <f t="shared" si="305"/>
        <v>1735</v>
      </c>
      <c r="S287" s="9">
        <f>S269+S275+S281</f>
        <v>1929</v>
      </c>
      <c r="T287" s="9">
        <f t="shared" si="306"/>
        <v>1943</v>
      </c>
      <c r="U287" s="9">
        <f t="shared" si="306"/>
        <v>1945</v>
      </c>
      <c r="V287" s="10">
        <f t="shared" si="306"/>
        <v>1864</v>
      </c>
      <c r="W287" s="10">
        <f>W269+W275+W281</f>
        <v>1945</v>
      </c>
      <c r="X287" s="10">
        <f t="shared" si="307"/>
        <v>1731</v>
      </c>
      <c r="Y287" s="10">
        <f t="shared" si="307"/>
        <v>1957</v>
      </c>
      <c r="Z287" s="10">
        <f t="shared" si="307"/>
        <v>2485</v>
      </c>
      <c r="AA287" s="10">
        <f t="shared" si="308"/>
        <v>683.9</v>
      </c>
      <c r="AB287" s="10">
        <f t="shared" ref="AB287" si="315">AB269+AB275+AB281</f>
        <v>710.17000000000007</v>
      </c>
      <c r="AC287" s="10">
        <f t="shared" si="308"/>
        <v>659.75</v>
      </c>
    </row>
    <row r="288" spans="1:29" ht="12.75" customHeight="1">
      <c r="A288" s="8"/>
      <c r="B288" s="8"/>
      <c r="C288" s="8"/>
      <c r="D288" s="8"/>
      <c r="E288" s="8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22"/>
      <c r="Q288" s="22"/>
      <c r="R288" s="22"/>
      <c r="S288" s="22"/>
      <c r="T288" s="22"/>
      <c r="U288" s="22"/>
      <c r="V288" s="14"/>
      <c r="W288" s="14"/>
      <c r="X288" s="14"/>
      <c r="Y288" s="14"/>
      <c r="Z288" s="14"/>
      <c r="AA288" s="14"/>
      <c r="AB288" s="14"/>
      <c r="AC288" s="14"/>
    </row>
    <row r="289" spans="1:30" s="5" customFormat="1" ht="12.75" customHeight="1" thickBot="1">
      <c r="A289" s="38" t="s">
        <v>14</v>
      </c>
      <c r="B289" s="38"/>
      <c r="C289" s="38"/>
      <c r="D289" s="39"/>
      <c r="E289" s="39"/>
      <c r="F289" s="39" t="s">
        <v>15</v>
      </c>
      <c r="G289" s="39" t="s">
        <v>16</v>
      </c>
      <c r="H289" s="39" t="s">
        <v>17</v>
      </c>
      <c r="I289" s="39" t="s">
        <v>18</v>
      </c>
      <c r="J289" s="39" t="s">
        <v>23</v>
      </c>
      <c r="K289" s="39" t="s">
        <v>25</v>
      </c>
      <c r="L289" s="39" t="s">
        <v>26</v>
      </c>
      <c r="M289" s="39" t="s">
        <v>40</v>
      </c>
      <c r="N289" s="39" t="s">
        <v>46</v>
      </c>
      <c r="O289" s="39" t="s">
        <v>47</v>
      </c>
      <c r="P289" s="39" t="s">
        <v>48</v>
      </c>
      <c r="Q289" s="39" t="s">
        <v>52</v>
      </c>
      <c r="R289" s="40" t="s">
        <v>55</v>
      </c>
      <c r="S289" s="40" t="s">
        <v>57</v>
      </c>
      <c r="T289" s="40" t="s">
        <v>60</v>
      </c>
      <c r="U289" s="40" t="s">
        <v>63</v>
      </c>
      <c r="V289" s="40" t="s">
        <v>65</v>
      </c>
      <c r="W289" s="40" t="s">
        <v>67</v>
      </c>
      <c r="X289" s="40" t="s">
        <v>69</v>
      </c>
      <c r="Y289" s="40" t="s">
        <v>71</v>
      </c>
      <c r="Z289" s="40" t="s">
        <v>74</v>
      </c>
      <c r="AA289" s="40" t="s">
        <v>79</v>
      </c>
      <c r="AB289" s="40" t="s">
        <v>87</v>
      </c>
      <c r="AC289" s="40" t="s">
        <v>116</v>
      </c>
    </row>
    <row r="290" spans="1:30" ht="12.75" customHeight="1">
      <c r="A290" s="16" t="s">
        <v>50</v>
      </c>
      <c r="B290" s="17"/>
      <c r="C290" s="17"/>
      <c r="D290" s="8"/>
      <c r="E290" s="8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22"/>
      <c r="Q290" s="22"/>
      <c r="R290" s="22"/>
      <c r="S290" s="22"/>
      <c r="T290" s="22"/>
      <c r="U290" s="22"/>
      <c r="V290" s="45"/>
      <c r="W290" s="14"/>
      <c r="X290" s="14"/>
      <c r="Y290" s="14"/>
      <c r="Z290" s="14"/>
      <c r="AA290" s="14"/>
      <c r="AB290" s="14"/>
      <c r="AC290" s="14"/>
    </row>
    <row r="291" spans="1:30" s="5" customFormat="1" ht="10.5" customHeight="1">
      <c r="A291" s="9" t="s">
        <v>19</v>
      </c>
      <c r="B291" s="9"/>
      <c r="C291" s="9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>
        <f>O292+O293+O294</f>
        <v>796</v>
      </c>
      <c r="P291" s="9">
        <f>P292+P293+P294</f>
        <v>580</v>
      </c>
      <c r="Q291" s="9">
        <f>Q292+Q293+Q294</f>
        <v>622</v>
      </c>
      <c r="R291" s="9">
        <f>R292+R293+R294</f>
        <v>761</v>
      </c>
      <c r="S291" s="9">
        <f>S292+S293+S294</f>
        <v>438</v>
      </c>
      <c r="T291" s="9">
        <f t="shared" ref="T291:AA291" si="316">T292+T293+T294</f>
        <v>835</v>
      </c>
      <c r="U291" s="9">
        <f t="shared" si="316"/>
        <v>768</v>
      </c>
      <c r="V291" s="9">
        <f t="shared" si="316"/>
        <v>726</v>
      </c>
      <c r="W291" s="10">
        <f t="shared" si="316"/>
        <v>930</v>
      </c>
      <c r="X291" s="10">
        <f t="shared" si="316"/>
        <v>1929</v>
      </c>
      <c r="Y291" s="10">
        <f t="shared" si="316"/>
        <v>1395</v>
      </c>
      <c r="Z291" s="10">
        <f t="shared" si="316"/>
        <v>967</v>
      </c>
      <c r="AA291" s="10">
        <f t="shared" si="316"/>
        <v>160</v>
      </c>
      <c r="AB291" s="10">
        <f>AB292+AB293+AB294</f>
        <v>166</v>
      </c>
      <c r="AC291" s="10">
        <f>AC292+AC293+AC294</f>
        <v>151</v>
      </c>
    </row>
    <row r="292" spans="1:30" ht="10.5" customHeight="1">
      <c r="A292" s="8" t="s">
        <v>2</v>
      </c>
      <c r="B292" s="8"/>
      <c r="C292" s="8"/>
      <c r="D292" s="8"/>
      <c r="E292" s="8"/>
      <c r="F292" s="12"/>
      <c r="G292" s="12"/>
      <c r="H292" s="12"/>
      <c r="I292" s="12"/>
      <c r="J292" s="12"/>
      <c r="K292" s="12"/>
      <c r="L292" s="12"/>
      <c r="M292" s="12"/>
      <c r="N292" s="12"/>
      <c r="O292" s="12">
        <v>121</v>
      </c>
      <c r="P292" s="21">
        <v>87</v>
      </c>
      <c r="Q292" s="21">
        <f>42+159</f>
        <v>201</v>
      </c>
      <c r="R292" s="21">
        <v>194</v>
      </c>
      <c r="S292" s="21">
        <f>50+146</f>
        <v>196</v>
      </c>
      <c r="T292" s="21">
        <v>316</v>
      </c>
      <c r="U292" s="21">
        <f>38+223</f>
        <v>261</v>
      </c>
      <c r="V292" s="21">
        <f>40+282</f>
        <v>322</v>
      </c>
      <c r="W292" s="19">
        <f>48+383</f>
        <v>431</v>
      </c>
      <c r="X292" s="19">
        <f>49+414</f>
        <v>463</v>
      </c>
      <c r="Y292" s="19">
        <v>810</v>
      </c>
      <c r="Z292" s="19">
        <v>424</v>
      </c>
      <c r="AA292" s="19">
        <v>94</v>
      </c>
      <c r="AB292" s="19">
        <v>82</v>
      </c>
      <c r="AC292" s="19">
        <v>81</v>
      </c>
    </row>
    <row r="293" spans="1:30" ht="10.5" customHeight="1">
      <c r="A293" s="8" t="s">
        <v>3</v>
      </c>
      <c r="B293" s="8"/>
      <c r="C293" s="8"/>
      <c r="D293" s="8"/>
      <c r="E293" s="8"/>
      <c r="F293" s="12"/>
      <c r="G293" s="12"/>
      <c r="H293" s="12"/>
      <c r="I293" s="12"/>
      <c r="J293" s="12"/>
      <c r="K293" s="12"/>
      <c r="L293" s="12"/>
      <c r="M293" s="12"/>
      <c r="N293" s="12"/>
      <c r="O293" s="12">
        <v>336</v>
      </c>
      <c r="P293" s="21">
        <v>153</v>
      </c>
      <c r="Q293" s="21">
        <f>0+89</f>
        <v>89</v>
      </c>
      <c r="R293" s="21">
        <v>153</v>
      </c>
      <c r="S293" s="21">
        <v>54</v>
      </c>
      <c r="T293" s="21">
        <v>144</v>
      </c>
      <c r="U293" s="21">
        <v>129</v>
      </c>
      <c r="V293" s="21">
        <v>57</v>
      </c>
      <c r="W293" s="20">
        <v>197</v>
      </c>
      <c r="X293" s="20">
        <v>242</v>
      </c>
      <c r="Y293" s="20">
        <v>304</v>
      </c>
      <c r="Z293" s="20">
        <v>237</v>
      </c>
      <c r="AA293" s="20">
        <v>64</v>
      </c>
      <c r="AB293" s="20">
        <v>84</v>
      </c>
      <c r="AC293" s="20">
        <v>68</v>
      </c>
    </row>
    <row r="294" spans="1:30" ht="10.5" customHeight="1">
      <c r="A294" s="8" t="s">
        <v>24</v>
      </c>
      <c r="B294" s="8"/>
      <c r="C294" s="8"/>
      <c r="D294" s="8"/>
      <c r="E294" s="8"/>
      <c r="F294" s="12"/>
      <c r="G294" s="12"/>
      <c r="H294" s="12"/>
      <c r="I294" s="12"/>
      <c r="J294" s="12"/>
      <c r="K294" s="12"/>
      <c r="L294" s="12"/>
      <c r="M294" s="12"/>
      <c r="N294" s="12"/>
      <c r="O294" s="12">
        <v>339</v>
      </c>
      <c r="P294" s="21">
        <v>340</v>
      </c>
      <c r="Q294" s="21">
        <f>0+332</f>
        <v>332</v>
      </c>
      <c r="R294" s="21">
        <v>414</v>
      </c>
      <c r="S294" s="21">
        <v>188</v>
      </c>
      <c r="T294" s="21">
        <v>375</v>
      </c>
      <c r="U294" s="21">
        <v>378</v>
      </c>
      <c r="V294" s="21">
        <v>347</v>
      </c>
      <c r="W294" s="20">
        <v>302</v>
      </c>
      <c r="X294" s="20">
        <v>1224</v>
      </c>
      <c r="Y294" s="20">
        <v>281</v>
      </c>
      <c r="Z294" s="20">
        <v>306</v>
      </c>
      <c r="AA294" s="20">
        <v>2</v>
      </c>
      <c r="AB294" s="20">
        <v>0</v>
      </c>
      <c r="AC294" s="20">
        <v>2</v>
      </c>
    </row>
    <row r="295" spans="1:30" ht="6" customHeight="1">
      <c r="A295" s="13"/>
      <c r="B295" s="13"/>
      <c r="C295" s="13"/>
      <c r="D295" s="8"/>
      <c r="E295" s="8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</row>
    <row r="296" spans="1:30" s="5" customFormat="1" ht="10.5" customHeight="1">
      <c r="A296" s="9" t="s">
        <v>20</v>
      </c>
      <c r="B296" s="9"/>
      <c r="C296" s="9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>
        <f>O297+O298+O299</f>
        <v>3806</v>
      </c>
      <c r="P296" s="9">
        <f>P297+P298+P299</f>
        <v>3875</v>
      </c>
      <c r="Q296" s="9">
        <f>Q297+Q298+Q299</f>
        <v>3512</v>
      </c>
      <c r="R296" s="9">
        <f>R297+R298+R299</f>
        <v>4880</v>
      </c>
      <c r="S296" s="9">
        <f>S297+S298+S299</f>
        <v>5342</v>
      </c>
      <c r="T296" s="9">
        <f t="shared" ref="T296:AA296" si="317">T297+T298+T299</f>
        <v>5507</v>
      </c>
      <c r="U296" s="9">
        <f t="shared" si="317"/>
        <v>5571</v>
      </c>
      <c r="V296" s="9">
        <f t="shared" si="317"/>
        <v>4432</v>
      </c>
      <c r="W296" s="10">
        <f t="shared" si="317"/>
        <v>5290</v>
      </c>
      <c r="X296" s="10">
        <f t="shared" si="317"/>
        <v>5318</v>
      </c>
      <c r="Y296" s="10">
        <f t="shared" si="317"/>
        <v>7873</v>
      </c>
      <c r="Z296" s="10">
        <f t="shared" si="317"/>
        <v>9454</v>
      </c>
      <c r="AA296" s="10">
        <f t="shared" si="317"/>
        <v>4845</v>
      </c>
      <c r="AB296" s="10">
        <f>AB297+AB298+AB299</f>
        <v>4662</v>
      </c>
      <c r="AC296" s="10">
        <f>AC297+AC298+AC299</f>
        <v>4750</v>
      </c>
    </row>
    <row r="297" spans="1:30" ht="10.5" customHeight="1">
      <c r="A297" s="8" t="s">
        <v>2</v>
      </c>
      <c r="B297" s="8"/>
      <c r="C297" s="8"/>
      <c r="D297" s="8"/>
      <c r="E297" s="8"/>
      <c r="F297" s="12"/>
      <c r="G297" s="12"/>
      <c r="H297" s="12"/>
      <c r="I297" s="12"/>
      <c r="J297" s="12"/>
      <c r="K297" s="12"/>
      <c r="L297" s="12"/>
      <c r="M297" s="12"/>
      <c r="N297" s="12"/>
      <c r="O297" s="12">
        <v>2790</v>
      </c>
      <c r="P297" s="21">
        <v>2967</v>
      </c>
      <c r="Q297" s="21">
        <f>1124+1626</f>
        <v>2750</v>
      </c>
      <c r="R297" s="21">
        <f>1601+2198</f>
        <v>3799</v>
      </c>
      <c r="S297" s="21">
        <f>1606+2794</f>
        <v>4400</v>
      </c>
      <c r="T297" s="21">
        <f>1737+2559</f>
        <v>4296</v>
      </c>
      <c r="U297" s="21">
        <f>1813+2624</f>
        <v>4437</v>
      </c>
      <c r="V297" s="21">
        <f>1792+1347</f>
        <v>3139</v>
      </c>
      <c r="W297" s="19">
        <f>1865+1762</f>
        <v>3627</v>
      </c>
      <c r="X297" s="19">
        <f>1885+1697</f>
        <v>3582</v>
      </c>
      <c r="Y297" s="19">
        <v>6282</v>
      </c>
      <c r="Z297" s="19">
        <v>7664</v>
      </c>
      <c r="AA297" s="19">
        <v>4543</v>
      </c>
      <c r="AB297" s="19">
        <f>4115+410</f>
        <v>4525</v>
      </c>
      <c r="AC297" s="19">
        <v>4618</v>
      </c>
    </row>
    <row r="298" spans="1:30" ht="10.5" customHeight="1">
      <c r="A298" s="8" t="s">
        <v>3</v>
      </c>
      <c r="B298" s="8"/>
      <c r="C298" s="8"/>
      <c r="D298" s="8"/>
      <c r="E298" s="8"/>
      <c r="F298" s="12"/>
      <c r="G298" s="12"/>
      <c r="H298" s="12"/>
      <c r="I298" s="12"/>
      <c r="J298" s="12"/>
      <c r="K298" s="12"/>
      <c r="L298" s="12"/>
      <c r="M298" s="12"/>
      <c r="N298" s="12"/>
      <c r="O298" s="12">
        <v>579</v>
      </c>
      <c r="P298" s="21">
        <v>425</v>
      </c>
      <c r="Q298" s="21">
        <v>341</v>
      </c>
      <c r="R298" s="21">
        <v>526</v>
      </c>
      <c r="S298" s="21">
        <v>536</v>
      </c>
      <c r="T298" s="21">
        <v>600</v>
      </c>
      <c r="U298" s="21">
        <v>585</v>
      </c>
      <c r="V298" s="21">
        <v>546</v>
      </c>
      <c r="W298" s="20">
        <v>895</v>
      </c>
      <c r="X298" s="20">
        <v>970</v>
      </c>
      <c r="Y298" s="20">
        <v>1000</v>
      </c>
      <c r="Z298" s="20">
        <v>1105</v>
      </c>
      <c r="AA298" s="20">
        <v>302</v>
      </c>
      <c r="AB298" s="20">
        <f>137</f>
        <v>137</v>
      </c>
      <c r="AC298" s="20">
        <v>132</v>
      </c>
    </row>
    <row r="299" spans="1:30" ht="10.5" customHeight="1">
      <c r="A299" s="8" t="s">
        <v>24</v>
      </c>
      <c r="B299" s="8"/>
      <c r="C299" s="8"/>
      <c r="D299" s="8"/>
      <c r="E299" s="8"/>
      <c r="F299" s="12"/>
      <c r="G299" s="12"/>
      <c r="H299" s="12"/>
      <c r="I299" s="12"/>
      <c r="J299" s="12"/>
      <c r="K299" s="12"/>
      <c r="L299" s="12"/>
      <c r="M299" s="12"/>
      <c r="N299" s="12"/>
      <c r="O299" s="12">
        <v>437</v>
      </c>
      <c r="P299" s="21">
        <v>483</v>
      </c>
      <c r="Q299" s="21">
        <v>421</v>
      </c>
      <c r="R299" s="21">
        <v>555</v>
      </c>
      <c r="S299" s="21">
        <v>406</v>
      </c>
      <c r="T299" s="21">
        <v>611</v>
      </c>
      <c r="U299" s="21">
        <v>549</v>
      </c>
      <c r="V299" s="21">
        <v>747</v>
      </c>
      <c r="W299" s="20">
        <v>768</v>
      </c>
      <c r="X299" s="20">
        <v>766</v>
      </c>
      <c r="Y299" s="20">
        <v>591</v>
      </c>
      <c r="Z299" s="20">
        <v>685</v>
      </c>
      <c r="AA299" s="20">
        <v>0</v>
      </c>
      <c r="AB299" s="20">
        <v>0</v>
      </c>
      <c r="AC299" s="20">
        <v>0</v>
      </c>
    </row>
    <row r="300" spans="1:30" ht="6.75" customHeight="1">
      <c r="A300" s="13"/>
      <c r="B300" s="13"/>
      <c r="C300" s="13"/>
      <c r="D300" s="8"/>
      <c r="E300" s="8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21"/>
      <c r="Q300" s="21"/>
      <c r="R300" s="21"/>
      <c r="S300" s="21"/>
      <c r="T300" s="21"/>
      <c r="U300" s="21"/>
      <c r="V300" s="21"/>
      <c r="W300" s="12"/>
      <c r="X300" s="12"/>
      <c r="Y300" s="12"/>
      <c r="Z300" s="12"/>
      <c r="AA300" s="12"/>
      <c r="AB300" s="12"/>
      <c r="AC300" s="12"/>
    </row>
    <row r="301" spans="1:30" s="5" customFormat="1" ht="10.5" customHeight="1">
      <c r="A301" s="9" t="s">
        <v>21</v>
      </c>
      <c r="B301" s="9"/>
      <c r="C301" s="9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>
        <f>O302+O303+O304</f>
        <v>2482</v>
      </c>
      <c r="P301" s="9">
        <f>P302+P303+P304</f>
        <v>2192</v>
      </c>
      <c r="Q301" s="9">
        <f>Q302+Q303+Q304</f>
        <v>2735</v>
      </c>
      <c r="R301" s="9">
        <f>R302+R303+R304</f>
        <v>3283</v>
      </c>
      <c r="S301" s="9">
        <f>S302+S303+S304</f>
        <v>3590</v>
      </c>
      <c r="T301" s="9">
        <f t="shared" ref="T301:AA301" si="318">T302+T303+T304</f>
        <v>4717</v>
      </c>
      <c r="U301" s="9">
        <f t="shared" si="318"/>
        <v>4529</v>
      </c>
      <c r="V301" s="9">
        <f t="shared" si="318"/>
        <v>4987</v>
      </c>
      <c r="W301" s="10">
        <f t="shared" si="318"/>
        <v>4908</v>
      </c>
      <c r="X301" s="10">
        <f t="shared" si="318"/>
        <v>6868</v>
      </c>
      <c r="Y301" s="10">
        <f t="shared" si="318"/>
        <v>8621</v>
      </c>
      <c r="Z301" s="10">
        <f t="shared" si="318"/>
        <v>9990</v>
      </c>
      <c r="AA301" s="10">
        <f t="shared" si="318"/>
        <v>3969</v>
      </c>
      <c r="AB301" s="10">
        <f>AB302+AB303+AB304</f>
        <v>3845</v>
      </c>
      <c r="AC301" s="10">
        <f>AC302+AC303+AC304</f>
        <v>3832</v>
      </c>
    </row>
    <row r="302" spans="1:30" ht="10.5" customHeight="1">
      <c r="A302" s="8" t="s">
        <v>2</v>
      </c>
      <c r="B302" s="8"/>
      <c r="C302" s="8"/>
      <c r="D302" s="8"/>
      <c r="E302" s="8"/>
      <c r="F302" s="12"/>
      <c r="G302" s="12"/>
      <c r="H302" s="12"/>
      <c r="I302" s="12"/>
      <c r="J302" s="12"/>
      <c r="K302" s="12"/>
      <c r="L302" s="12"/>
      <c r="M302" s="12"/>
      <c r="N302" s="12"/>
      <c r="O302" s="12">
        <v>1933</v>
      </c>
      <c r="P302" s="21">
        <f>1017+462</f>
        <v>1479</v>
      </c>
      <c r="Q302" s="21">
        <v>1945</v>
      </c>
      <c r="R302" s="21">
        <f>995+1348</f>
        <v>2343</v>
      </c>
      <c r="S302" s="21">
        <f>1025+1446</f>
        <v>2471</v>
      </c>
      <c r="T302" s="21">
        <f>1015+1813</f>
        <v>2828</v>
      </c>
      <c r="U302" s="21">
        <f>1185+1844</f>
        <v>3029</v>
      </c>
      <c r="V302" s="21">
        <f>1066+2210</f>
        <v>3276</v>
      </c>
      <c r="W302" s="19">
        <f>1143+1850</f>
        <v>2993</v>
      </c>
      <c r="X302" s="19">
        <f>1258+3311</f>
        <v>4569</v>
      </c>
      <c r="Y302" s="19">
        <v>6408</v>
      </c>
      <c r="Z302" s="19">
        <v>7565</v>
      </c>
      <c r="AA302" s="19">
        <v>3645</v>
      </c>
      <c r="AB302" s="19">
        <v>3651</v>
      </c>
      <c r="AC302" s="19">
        <v>3658</v>
      </c>
    </row>
    <row r="303" spans="1:30" ht="10.5" customHeight="1">
      <c r="A303" s="8" t="s">
        <v>3</v>
      </c>
      <c r="B303" s="8"/>
      <c r="C303" s="8"/>
      <c r="D303" s="8"/>
      <c r="E303" s="8"/>
      <c r="F303" s="12"/>
      <c r="G303" s="12"/>
      <c r="H303" s="12"/>
      <c r="I303" s="12"/>
      <c r="J303" s="12"/>
      <c r="K303" s="12"/>
      <c r="L303" s="12"/>
      <c r="M303" s="12"/>
      <c r="N303" s="12"/>
      <c r="O303" s="12">
        <v>208</v>
      </c>
      <c r="P303" s="21">
        <f>347</f>
        <v>347</v>
      </c>
      <c r="Q303" s="21">
        <v>438</v>
      </c>
      <c r="R303" s="21">
        <v>508</v>
      </c>
      <c r="S303" s="21">
        <v>719</v>
      </c>
      <c r="T303" s="21">
        <v>1304</v>
      </c>
      <c r="U303" s="21">
        <v>927</v>
      </c>
      <c r="V303" s="21">
        <v>1052</v>
      </c>
      <c r="W303" s="20">
        <v>1232</v>
      </c>
      <c r="X303" s="20">
        <v>1325</v>
      </c>
      <c r="Y303" s="20">
        <v>1448</v>
      </c>
      <c r="Z303" s="20">
        <v>1677</v>
      </c>
      <c r="AA303" s="20">
        <v>324</v>
      </c>
      <c r="AB303" s="20">
        <v>194</v>
      </c>
      <c r="AC303" s="20">
        <v>174</v>
      </c>
    </row>
    <row r="304" spans="1:30" ht="10.5" customHeight="1">
      <c r="A304" s="8" t="s">
        <v>24</v>
      </c>
      <c r="B304" s="8"/>
      <c r="C304" s="8"/>
      <c r="D304" s="8"/>
      <c r="E304" s="8"/>
      <c r="F304" s="12"/>
      <c r="G304" s="12"/>
      <c r="H304" s="12"/>
      <c r="I304" s="12"/>
      <c r="J304" s="12"/>
      <c r="K304" s="12"/>
      <c r="L304" s="12"/>
      <c r="M304" s="12"/>
      <c r="N304" s="12"/>
      <c r="O304" s="12">
        <v>341</v>
      </c>
      <c r="P304" s="21">
        <f>366</f>
        <v>366</v>
      </c>
      <c r="Q304" s="21">
        <v>352</v>
      </c>
      <c r="R304" s="21">
        <v>432</v>
      </c>
      <c r="S304" s="21">
        <v>400</v>
      </c>
      <c r="T304" s="21">
        <v>585</v>
      </c>
      <c r="U304" s="21">
        <v>573</v>
      </c>
      <c r="V304" s="21">
        <v>659</v>
      </c>
      <c r="W304" s="20">
        <v>683</v>
      </c>
      <c r="X304" s="20">
        <v>974</v>
      </c>
      <c r="Y304" s="20">
        <v>765</v>
      </c>
      <c r="Z304" s="20">
        <v>748</v>
      </c>
      <c r="AA304" s="20">
        <v>0</v>
      </c>
      <c r="AB304" s="20">
        <v>0</v>
      </c>
      <c r="AC304" s="20">
        <v>0</v>
      </c>
      <c r="AD304" s="27"/>
    </row>
    <row r="305" spans="1:32" ht="6" customHeight="1">
      <c r="A305" s="16"/>
      <c r="B305" s="17"/>
      <c r="C305" s="17"/>
      <c r="D305" s="8"/>
      <c r="E305" s="8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22"/>
      <c r="Q305" s="22"/>
      <c r="R305" s="22"/>
      <c r="S305" s="22"/>
      <c r="T305" s="22"/>
      <c r="U305" s="22"/>
      <c r="V305" s="22"/>
      <c r="W305" s="14"/>
      <c r="X305" s="14"/>
      <c r="Y305" s="14"/>
      <c r="Z305" s="14"/>
      <c r="AA305" s="14"/>
      <c r="AB305" s="14"/>
      <c r="AC305" s="14"/>
    </row>
    <row r="306" spans="1:32" s="5" customFormat="1" ht="10.5" customHeight="1">
      <c r="A306" s="9" t="s">
        <v>22</v>
      </c>
      <c r="B306" s="9"/>
      <c r="C306" s="9"/>
      <c r="D306" s="10"/>
      <c r="E306" s="10"/>
      <c r="F306" s="10">
        <f>SUM(F307:F309)</f>
        <v>6650</v>
      </c>
      <c r="G306" s="10">
        <f t="shared" ref="G306:O306" si="319">SUM(G307:G309)</f>
        <v>4902</v>
      </c>
      <c r="H306" s="10">
        <f t="shared" si="319"/>
        <v>4917</v>
      </c>
      <c r="I306" s="10">
        <f t="shared" si="319"/>
        <v>5084</v>
      </c>
      <c r="J306" s="10">
        <f t="shared" si="319"/>
        <v>5792</v>
      </c>
      <c r="K306" s="10">
        <f t="shared" si="319"/>
        <v>5598</v>
      </c>
      <c r="L306" s="10">
        <f t="shared" si="319"/>
        <v>6737</v>
      </c>
      <c r="M306" s="10">
        <f t="shared" si="319"/>
        <v>7009</v>
      </c>
      <c r="N306" s="10">
        <f t="shared" si="319"/>
        <v>7351</v>
      </c>
      <c r="O306" s="10">
        <f t="shared" si="319"/>
        <v>7084</v>
      </c>
      <c r="P306" s="9">
        <f t="shared" ref="P306:AC306" si="320">SUM(P307:P309)</f>
        <v>6647</v>
      </c>
      <c r="Q306" s="9">
        <f t="shared" si="320"/>
        <v>6869</v>
      </c>
      <c r="R306" s="9">
        <f t="shared" si="320"/>
        <v>8924</v>
      </c>
      <c r="S306" s="9">
        <f t="shared" si="320"/>
        <v>9370</v>
      </c>
      <c r="T306" s="9">
        <f t="shared" si="320"/>
        <v>11059</v>
      </c>
      <c r="U306" s="9">
        <f t="shared" ref="U306:AB306" si="321">SUM(U307:U309)</f>
        <v>10868</v>
      </c>
      <c r="V306" s="9">
        <f t="shared" si="321"/>
        <v>10145</v>
      </c>
      <c r="W306" s="10">
        <f t="shared" si="321"/>
        <v>11128</v>
      </c>
      <c r="X306" s="10">
        <f t="shared" si="321"/>
        <v>14115</v>
      </c>
      <c r="Y306" s="10">
        <f t="shared" si="321"/>
        <v>17889</v>
      </c>
      <c r="Z306" s="10">
        <f t="shared" si="321"/>
        <v>20411</v>
      </c>
      <c r="AA306" s="10">
        <f t="shared" si="321"/>
        <v>8974</v>
      </c>
      <c r="AB306" s="10">
        <f t="shared" si="321"/>
        <v>8673</v>
      </c>
      <c r="AC306" s="10">
        <f t="shared" si="320"/>
        <v>8733</v>
      </c>
    </row>
    <row r="307" spans="1:32" s="5" customFormat="1" ht="10.5" customHeight="1">
      <c r="A307" s="9" t="s">
        <v>2</v>
      </c>
      <c r="B307" s="9"/>
      <c r="C307" s="9"/>
      <c r="D307" s="10"/>
      <c r="E307" s="10"/>
      <c r="F307" s="10">
        <v>5400</v>
      </c>
      <c r="G307" s="10">
        <v>4099</v>
      </c>
      <c r="H307" s="10">
        <v>3954</v>
      </c>
      <c r="I307" s="10">
        <v>3960</v>
      </c>
      <c r="J307" s="10">
        <v>3612</v>
      </c>
      <c r="K307" s="10">
        <v>3957</v>
      </c>
      <c r="L307" s="10">
        <f>162+2528+2211</f>
        <v>4901</v>
      </c>
      <c r="M307" s="10">
        <f>63+2985+1916</f>
        <v>4964</v>
      </c>
      <c r="N307" s="10">
        <v>5473</v>
      </c>
      <c r="O307" s="10">
        <f t="shared" ref="O307:P309" si="322">O292+O297+O302</f>
        <v>4844</v>
      </c>
      <c r="P307" s="9">
        <f t="shared" si="322"/>
        <v>4533</v>
      </c>
      <c r="Q307" s="9">
        <f t="shared" ref="Q307:R309" si="323">Q292+Q297+Q302</f>
        <v>4896</v>
      </c>
      <c r="R307" s="9">
        <f t="shared" si="323"/>
        <v>6336</v>
      </c>
      <c r="S307" s="9">
        <f t="shared" ref="S307:U309" si="324">S292+S297+S302</f>
        <v>7067</v>
      </c>
      <c r="T307" s="9">
        <f t="shared" si="324"/>
        <v>7440</v>
      </c>
      <c r="U307" s="9">
        <f t="shared" si="324"/>
        <v>7727</v>
      </c>
      <c r="V307" s="9">
        <f>V292+V297+V302</f>
        <v>6737</v>
      </c>
      <c r="W307" s="9">
        <f t="shared" ref="W307:Y309" si="325">W292+W297+W302</f>
        <v>7051</v>
      </c>
      <c r="X307" s="9">
        <f t="shared" si="325"/>
        <v>8614</v>
      </c>
      <c r="Y307" s="9">
        <f t="shared" si="325"/>
        <v>13500</v>
      </c>
      <c r="Z307" s="9">
        <f t="shared" ref="Z307:AC309" si="326">Z292+Z297+Z302</f>
        <v>15653</v>
      </c>
      <c r="AA307" s="9">
        <f>AA292+AA297+AA302</f>
        <v>8282</v>
      </c>
      <c r="AB307" s="9">
        <f t="shared" ref="AB307" si="327">AB292+AB297+AB302</f>
        <v>8258</v>
      </c>
      <c r="AC307" s="9">
        <f t="shared" si="326"/>
        <v>8357</v>
      </c>
    </row>
    <row r="308" spans="1:32" s="5" customFormat="1" ht="10.5" customHeight="1">
      <c r="A308" s="9" t="s">
        <v>3</v>
      </c>
      <c r="B308" s="9"/>
      <c r="C308" s="9"/>
      <c r="D308" s="10"/>
      <c r="E308" s="10"/>
      <c r="F308" s="10">
        <v>847</v>
      </c>
      <c r="G308" s="10">
        <v>491</v>
      </c>
      <c r="H308" s="10">
        <v>483</v>
      </c>
      <c r="I308" s="10">
        <v>555</v>
      </c>
      <c r="J308" s="10">
        <v>1518</v>
      </c>
      <c r="K308" s="10">
        <v>926</v>
      </c>
      <c r="L308" s="10">
        <f>234+724+240</f>
        <v>1198</v>
      </c>
      <c r="M308" s="10">
        <f>185+531+608</f>
        <v>1324</v>
      </c>
      <c r="N308" s="10">
        <v>928</v>
      </c>
      <c r="O308" s="10">
        <f t="shared" si="322"/>
        <v>1123</v>
      </c>
      <c r="P308" s="9">
        <f t="shared" si="322"/>
        <v>925</v>
      </c>
      <c r="Q308" s="9">
        <f t="shared" si="323"/>
        <v>868</v>
      </c>
      <c r="R308" s="9">
        <f t="shared" si="323"/>
        <v>1187</v>
      </c>
      <c r="S308" s="9">
        <f t="shared" si="324"/>
        <v>1309</v>
      </c>
      <c r="T308" s="9">
        <f t="shared" si="324"/>
        <v>2048</v>
      </c>
      <c r="U308" s="9">
        <f t="shared" si="324"/>
        <v>1641</v>
      </c>
      <c r="V308" s="9">
        <f>V293+V298+V303</f>
        <v>1655</v>
      </c>
      <c r="W308" s="9">
        <f t="shared" si="325"/>
        <v>2324</v>
      </c>
      <c r="X308" s="9">
        <f t="shared" si="325"/>
        <v>2537</v>
      </c>
      <c r="Y308" s="9">
        <f t="shared" si="325"/>
        <v>2752</v>
      </c>
      <c r="Z308" s="9">
        <f t="shared" si="326"/>
        <v>3019</v>
      </c>
      <c r="AA308" s="9">
        <f>AA293+AA298+AA303</f>
        <v>690</v>
      </c>
      <c r="AB308" s="9">
        <f t="shared" ref="AB308" si="328">AB293+AB298+AB303</f>
        <v>415</v>
      </c>
      <c r="AC308" s="9">
        <f t="shared" si="326"/>
        <v>374</v>
      </c>
    </row>
    <row r="309" spans="1:32" s="5" customFormat="1" ht="10.5" customHeight="1">
      <c r="A309" s="9" t="s">
        <v>24</v>
      </c>
      <c r="B309" s="9"/>
      <c r="C309" s="9"/>
      <c r="D309" s="10"/>
      <c r="E309" s="10"/>
      <c r="F309" s="10">
        <v>403</v>
      </c>
      <c r="G309" s="10">
        <v>312</v>
      </c>
      <c r="H309" s="10">
        <v>480</v>
      </c>
      <c r="I309" s="10">
        <v>569</v>
      </c>
      <c r="J309" s="10">
        <v>662</v>
      </c>
      <c r="K309" s="10">
        <v>715</v>
      </c>
      <c r="L309" s="10">
        <f>160+279+199</f>
        <v>638</v>
      </c>
      <c r="M309" s="10">
        <f>163+273+285</f>
        <v>721</v>
      </c>
      <c r="N309" s="10">
        <v>950</v>
      </c>
      <c r="O309" s="10">
        <f t="shared" si="322"/>
        <v>1117</v>
      </c>
      <c r="P309" s="9">
        <f t="shared" si="322"/>
        <v>1189</v>
      </c>
      <c r="Q309" s="9">
        <f t="shared" si="323"/>
        <v>1105</v>
      </c>
      <c r="R309" s="9">
        <f t="shared" si="323"/>
        <v>1401</v>
      </c>
      <c r="S309" s="9">
        <f t="shared" si="324"/>
        <v>994</v>
      </c>
      <c r="T309" s="9">
        <f t="shared" si="324"/>
        <v>1571</v>
      </c>
      <c r="U309" s="9">
        <f t="shared" si="324"/>
        <v>1500</v>
      </c>
      <c r="V309" s="9">
        <f>V294+V299+V304</f>
        <v>1753</v>
      </c>
      <c r="W309" s="9">
        <f t="shared" si="325"/>
        <v>1753</v>
      </c>
      <c r="X309" s="9">
        <f t="shared" si="325"/>
        <v>2964</v>
      </c>
      <c r="Y309" s="9">
        <f t="shared" si="325"/>
        <v>1637</v>
      </c>
      <c r="Z309" s="9">
        <f t="shared" si="326"/>
        <v>1739</v>
      </c>
      <c r="AA309" s="9">
        <f>AA294+AA299+AA304</f>
        <v>2</v>
      </c>
      <c r="AB309" s="9">
        <f t="shared" ref="AB309" si="329">AB294+AB299+AB304</f>
        <v>0</v>
      </c>
      <c r="AC309" s="9">
        <f t="shared" si="326"/>
        <v>2</v>
      </c>
    </row>
    <row r="310" spans="1:32" ht="7.5" customHeight="1">
      <c r="A310" s="13"/>
      <c r="B310" s="13"/>
      <c r="C310" s="13"/>
      <c r="D310" s="8"/>
      <c r="E310" s="8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22"/>
      <c r="Q310" s="22"/>
      <c r="R310" s="22"/>
      <c r="S310" s="22"/>
      <c r="T310" s="22"/>
      <c r="U310" s="22"/>
      <c r="V310" s="14"/>
      <c r="W310" s="14"/>
      <c r="X310" s="14"/>
      <c r="Y310" s="14"/>
      <c r="Z310" s="14"/>
      <c r="AA310" s="14"/>
      <c r="AB310" s="14"/>
      <c r="AC310" s="14"/>
    </row>
    <row r="311" spans="1:32" ht="3.75" customHeight="1">
      <c r="A311" s="13"/>
      <c r="B311" s="13"/>
      <c r="C311" s="13"/>
      <c r="D311" s="8"/>
      <c r="E311" s="8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22"/>
      <c r="Q311" s="22"/>
      <c r="R311" s="22"/>
      <c r="S311" s="22"/>
      <c r="T311" s="22"/>
      <c r="U311" s="22"/>
      <c r="V311" s="14"/>
      <c r="W311" s="14"/>
      <c r="X311" s="14"/>
      <c r="Y311" s="14"/>
      <c r="Z311" s="14"/>
      <c r="AA311" s="14"/>
      <c r="AB311" s="14"/>
      <c r="AC311" s="14"/>
    </row>
    <row r="312" spans="1:32" s="5" customFormat="1" ht="11.25" customHeight="1">
      <c r="A312" s="9" t="s">
        <v>43</v>
      </c>
      <c r="B312" s="9"/>
      <c r="C312" s="9"/>
      <c r="D312" s="10"/>
      <c r="E312" s="10"/>
      <c r="F312" s="10">
        <f t="shared" ref="F312:M312" si="330">SUM(F313:F316)</f>
        <v>681051</v>
      </c>
      <c r="G312" s="10">
        <f t="shared" si="330"/>
        <v>666258</v>
      </c>
      <c r="H312" s="10">
        <f t="shared" si="330"/>
        <v>663397</v>
      </c>
      <c r="I312" s="10">
        <f t="shared" si="330"/>
        <v>668412</v>
      </c>
      <c r="J312" s="10">
        <f t="shared" si="330"/>
        <v>684950</v>
      </c>
      <c r="K312" s="10">
        <f t="shared" si="330"/>
        <v>686420</v>
      </c>
      <c r="L312" s="10">
        <f t="shared" si="330"/>
        <v>698976</v>
      </c>
      <c r="M312" s="10">
        <f t="shared" si="330"/>
        <v>718643</v>
      </c>
      <c r="N312" s="10">
        <f>SUM(N313:N316)</f>
        <v>753635</v>
      </c>
      <c r="O312" s="10">
        <f>SUM(O313:O316)</f>
        <v>756773</v>
      </c>
      <c r="P312" s="9">
        <f>SUM(P313:P316)</f>
        <v>740420</v>
      </c>
      <c r="Q312" s="9">
        <f>SUM(Q313:Q316)</f>
        <v>714760</v>
      </c>
      <c r="R312" s="9">
        <f>SUM(R313:R316)</f>
        <v>693884</v>
      </c>
      <c r="S312" s="9">
        <f t="shared" ref="S312:Z312" si="331">SUM(S313:S316)</f>
        <v>679470</v>
      </c>
      <c r="T312" s="9">
        <f t="shared" si="331"/>
        <v>701610</v>
      </c>
      <c r="U312" s="9">
        <f t="shared" si="331"/>
        <v>729412</v>
      </c>
      <c r="V312" s="10">
        <f t="shared" si="331"/>
        <v>765855</v>
      </c>
      <c r="W312" s="10">
        <f t="shared" si="331"/>
        <v>785183</v>
      </c>
      <c r="X312" s="10">
        <f t="shared" si="331"/>
        <v>824654</v>
      </c>
      <c r="Y312" s="10">
        <f t="shared" si="331"/>
        <v>864310</v>
      </c>
      <c r="Z312" s="10">
        <f t="shared" si="331"/>
        <v>921735</v>
      </c>
      <c r="AA312" s="10">
        <f>SUM(AA313:AA316)</f>
        <v>962984.28999999992</v>
      </c>
      <c r="AB312" s="10">
        <f>SUM(AB313:AB316)</f>
        <v>993077.82999999984</v>
      </c>
      <c r="AC312" s="10">
        <f>SUM(AC313:AC316)</f>
        <v>1004138.8700000001</v>
      </c>
      <c r="AD312"/>
      <c r="AE312" s="18"/>
      <c r="AF312" s="18"/>
    </row>
    <row r="313" spans="1:32" s="5" customFormat="1" ht="11.25" customHeight="1">
      <c r="A313" s="9" t="s">
        <v>2</v>
      </c>
      <c r="B313" s="9"/>
      <c r="C313" s="9"/>
      <c r="D313" s="10"/>
      <c r="E313" s="10"/>
      <c r="F313" s="10">
        <f t="shared" ref="F313:J314" si="332">F96+F119+F141+F163+F188+F211+F258+F307</f>
        <v>357571</v>
      </c>
      <c r="G313" s="10">
        <f t="shared" si="332"/>
        <v>347083</v>
      </c>
      <c r="H313" s="10">
        <f t="shared" si="332"/>
        <v>346880</v>
      </c>
      <c r="I313" s="10">
        <f t="shared" si="332"/>
        <v>349988</v>
      </c>
      <c r="J313" s="10">
        <f t="shared" si="332"/>
        <v>361153</v>
      </c>
      <c r="K313" s="10">
        <f t="shared" ref="K313:Q314" si="333">K96+K119+K141+K163+K188+K211+K258+K284+K307</f>
        <v>362460</v>
      </c>
      <c r="L313" s="10">
        <f t="shared" si="333"/>
        <v>370362</v>
      </c>
      <c r="M313" s="10">
        <f t="shared" si="333"/>
        <v>384127</v>
      </c>
      <c r="N313" s="10">
        <f t="shared" si="333"/>
        <v>402370</v>
      </c>
      <c r="O313" s="10">
        <f t="shared" si="333"/>
        <v>399067</v>
      </c>
      <c r="P313" s="9">
        <f t="shared" si="333"/>
        <v>372661</v>
      </c>
      <c r="Q313" s="9">
        <f t="shared" si="333"/>
        <v>353578</v>
      </c>
      <c r="R313" s="9">
        <f t="shared" ref="R313:AC313" si="334">R96+R119+R141+R163+R188+R211+R258+R284+R307+R233</f>
        <v>342913</v>
      </c>
      <c r="S313" s="9">
        <f t="shared" si="334"/>
        <v>341579</v>
      </c>
      <c r="T313" s="9">
        <f t="shared" si="334"/>
        <v>357221</v>
      </c>
      <c r="U313" s="9">
        <f t="shared" si="334"/>
        <v>378681</v>
      </c>
      <c r="V313" s="10">
        <f t="shared" si="334"/>
        <v>392835</v>
      </c>
      <c r="W313" s="10">
        <f t="shared" si="334"/>
        <v>401307</v>
      </c>
      <c r="X313" s="10">
        <f t="shared" si="334"/>
        <v>426002</v>
      </c>
      <c r="Y313" s="10">
        <f t="shared" si="334"/>
        <v>453376</v>
      </c>
      <c r="Z313" s="10">
        <f t="shared" si="334"/>
        <v>490161</v>
      </c>
      <c r="AA313" s="10">
        <f>AA96+AA119+AA141+AA163+AA188+AA211+AA258+AA284+AA307+AA233</f>
        <v>508499.94</v>
      </c>
      <c r="AB313" s="10">
        <f t="shared" ref="AB313" si="335">AB96+AB119+AB141+AB163+AB188+AB211+AB258+AB284+AB307+AB233</f>
        <v>518002.97</v>
      </c>
      <c r="AC313" s="10">
        <f t="shared" si="334"/>
        <v>514874.54</v>
      </c>
      <c r="AD313"/>
      <c r="AE313" s="18"/>
      <c r="AF313" s="18"/>
    </row>
    <row r="314" spans="1:32" s="5" customFormat="1" ht="11.25" customHeight="1">
      <c r="A314" s="9" t="s">
        <v>3</v>
      </c>
      <c r="B314" s="9"/>
      <c r="C314" s="9"/>
      <c r="D314" s="10"/>
      <c r="E314" s="10"/>
      <c r="F314" s="10">
        <f t="shared" si="332"/>
        <v>238842</v>
      </c>
      <c r="G314" s="10">
        <f t="shared" si="332"/>
        <v>233968</v>
      </c>
      <c r="H314" s="10">
        <f t="shared" si="332"/>
        <v>233119</v>
      </c>
      <c r="I314" s="10">
        <f t="shared" si="332"/>
        <v>234690</v>
      </c>
      <c r="J314" s="10">
        <f t="shared" si="332"/>
        <v>240890</v>
      </c>
      <c r="K314" s="10">
        <f t="shared" si="333"/>
        <v>244709</v>
      </c>
      <c r="L314" s="10">
        <f t="shared" si="333"/>
        <v>248659</v>
      </c>
      <c r="M314" s="10">
        <f t="shared" si="333"/>
        <v>254136</v>
      </c>
      <c r="N314" s="10">
        <f t="shared" si="333"/>
        <v>269445</v>
      </c>
      <c r="O314" s="10">
        <f t="shared" si="333"/>
        <v>272251</v>
      </c>
      <c r="P314" s="9">
        <f t="shared" si="333"/>
        <v>278629</v>
      </c>
      <c r="Q314" s="9">
        <f t="shared" si="333"/>
        <v>273415</v>
      </c>
      <c r="R314" s="9">
        <f t="shared" ref="R314:AC314" si="336">R97+R120+R142+R164+R189+R212+R259+R285+R308+R234</f>
        <v>264079</v>
      </c>
      <c r="S314" s="9">
        <f t="shared" si="336"/>
        <v>251217</v>
      </c>
      <c r="T314" s="9">
        <f t="shared" si="336"/>
        <v>252191</v>
      </c>
      <c r="U314" s="9">
        <f t="shared" si="336"/>
        <v>255988</v>
      </c>
      <c r="V314" s="10">
        <f t="shared" si="336"/>
        <v>271119</v>
      </c>
      <c r="W314" s="10">
        <f t="shared" si="336"/>
        <v>279727</v>
      </c>
      <c r="X314" s="10">
        <f t="shared" si="336"/>
        <v>297839</v>
      </c>
      <c r="Y314" s="10">
        <f t="shared" si="336"/>
        <v>308772</v>
      </c>
      <c r="Z314" s="10">
        <f t="shared" si="336"/>
        <v>326074</v>
      </c>
      <c r="AA314" s="10">
        <f>AA97+AA120+AA142+AA164+AA189+AA212+AA259+AA285+AA308+AA234</f>
        <v>345934.77</v>
      </c>
      <c r="AB314" s="10">
        <f t="shared" ref="AB314" si="337">AB97+AB120+AB142+AB164+AB189+AB212+AB259+AB285+AB308+AB234</f>
        <v>364544.85999999993</v>
      </c>
      <c r="AC314" s="10">
        <f t="shared" si="336"/>
        <v>380836.99</v>
      </c>
      <c r="AD314"/>
      <c r="AE314" s="18"/>
      <c r="AF314" s="18"/>
    </row>
    <row r="315" spans="1:32" s="5" customFormat="1" ht="11.25" customHeight="1">
      <c r="A315" s="9" t="s">
        <v>12</v>
      </c>
      <c r="B315" s="9"/>
      <c r="C315" s="9"/>
      <c r="D315" s="10"/>
      <c r="E315" s="10"/>
      <c r="F315" s="10">
        <f>F286</f>
        <v>14548</v>
      </c>
      <c r="G315" s="10">
        <f t="shared" ref="G315:M315" si="338">G286</f>
        <v>15281</v>
      </c>
      <c r="H315" s="10">
        <f t="shared" si="338"/>
        <v>16109</v>
      </c>
      <c r="I315" s="10">
        <f t="shared" si="338"/>
        <v>16084</v>
      </c>
      <c r="J315" s="10">
        <f t="shared" si="338"/>
        <v>16985</v>
      </c>
      <c r="K315" s="10">
        <f t="shared" si="338"/>
        <v>16065</v>
      </c>
      <c r="L315" s="10">
        <f t="shared" si="338"/>
        <v>16262</v>
      </c>
      <c r="M315" s="10">
        <f t="shared" si="338"/>
        <v>16176</v>
      </c>
      <c r="N315" s="10">
        <f>N286</f>
        <v>16692</v>
      </c>
      <c r="O315" s="10">
        <f>O286</f>
        <v>16468</v>
      </c>
      <c r="P315" s="9">
        <f>P286</f>
        <v>16696</v>
      </c>
      <c r="Q315" s="9">
        <f>Q286</f>
        <v>16837</v>
      </c>
      <c r="R315" s="9">
        <f>R286</f>
        <v>17901</v>
      </c>
      <c r="S315" s="9">
        <f t="shared" ref="S315:Z315" si="339">S286</f>
        <v>18191</v>
      </c>
      <c r="T315" s="9">
        <f t="shared" si="339"/>
        <v>19747</v>
      </c>
      <c r="U315" s="9">
        <f t="shared" si="339"/>
        <v>20056</v>
      </c>
      <c r="V315" s="10">
        <f t="shared" si="339"/>
        <v>22531</v>
      </c>
      <c r="W315" s="10">
        <f t="shared" si="339"/>
        <v>23480</v>
      </c>
      <c r="X315" s="10">
        <f t="shared" si="339"/>
        <v>23944</v>
      </c>
      <c r="Y315" s="10">
        <f t="shared" si="339"/>
        <v>23989</v>
      </c>
      <c r="Z315" s="10">
        <f t="shared" si="339"/>
        <v>24304</v>
      </c>
      <c r="AA315" s="10">
        <f>AA286+AA260+AA190+AA98</f>
        <v>25798.359999999997</v>
      </c>
      <c r="AB315" s="10">
        <f>AB286+AB260+AB190+AB98</f>
        <v>25356.61</v>
      </c>
      <c r="AC315" s="10">
        <f>AC286+AC260+AC190+AC98</f>
        <v>25995.17</v>
      </c>
      <c r="AD315"/>
      <c r="AE315" s="18"/>
      <c r="AF315" s="18"/>
    </row>
    <row r="316" spans="1:32" s="5" customFormat="1" ht="11.25" customHeight="1">
      <c r="A316" s="9" t="s">
        <v>24</v>
      </c>
      <c r="B316" s="9"/>
      <c r="C316" s="9"/>
      <c r="D316" s="10"/>
      <c r="E316" s="10"/>
      <c r="F316" s="10">
        <f t="shared" ref="F316:Q316" si="340">F99+F121+F143+F165+F191+F213+F261+F287+F309</f>
        <v>70090</v>
      </c>
      <c r="G316" s="10">
        <f t="shared" si="340"/>
        <v>69926</v>
      </c>
      <c r="H316" s="10">
        <f t="shared" si="340"/>
        <v>67289</v>
      </c>
      <c r="I316" s="10">
        <f t="shared" si="340"/>
        <v>67650</v>
      </c>
      <c r="J316" s="10">
        <f t="shared" si="340"/>
        <v>65922</v>
      </c>
      <c r="K316" s="10">
        <f t="shared" si="340"/>
        <v>63186</v>
      </c>
      <c r="L316" s="10">
        <f t="shared" si="340"/>
        <v>63693</v>
      </c>
      <c r="M316" s="10">
        <f t="shared" si="340"/>
        <v>64204</v>
      </c>
      <c r="N316" s="10">
        <f t="shared" si="340"/>
        <v>65128</v>
      </c>
      <c r="O316" s="10">
        <f t="shared" si="340"/>
        <v>68987</v>
      </c>
      <c r="P316" s="9">
        <f t="shared" si="340"/>
        <v>72434</v>
      </c>
      <c r="Q316" s="9">
        <f t="shared" si="340"/>
        <v>70930</v>
      </c>
      <c r="R316" s="9">
        <f t="shared" ref="R316:AC316" si="341">R99+R121+R143+R165+R191+R213+R261+R287+R309+R235</f>
        <v>68991</v>
      </c>
      <c r="S316" s="9">
        <f t="shared" si="341"/>
        <v>68483</v>
      </c>
      <c r="T316" s="9">
        <f t="shared" si="341"/>
        <v>72451</v>
      </c>
      <c r="U316" s="9">
        <f t="shared" si="341"/>
        <v>74687</v>
      </c>
      <c r="V316" s="10">
        <f t="shared" si="341"/>
        <v>79370</v>
      </c>
      <c r="W316" s="10">
        <f>W99+W121+W143+W165+W191+W213+W261+W287+W309+W235</f>
        <v>80669</v>
      </c>
      <c r="X316" s="10">
        <f>X99+X121+X143+X165+X191+X213+X261+X287+X309+X235</f>
        <v>76869</v>
      </c>
      <c r="Y316" s="10">
        <f>Y99+Y121+Y143+Y165+Y191+Y213+Y261+Y287+Y309+Y235</f>
        <v>78173</v>
      </c>
      <c r="Z316" s="10">
        <f>Z99+Z121+Z143+Z165+Z191+Z213+Z261+Z287+Z309+Z235</f>
        <v>81196</v>
      </c>
      <c r="AA316" s="10">
        <f>AA99+AA121+AA143+AA165+AA191+AA213+AA261+AA287+AA309+AA235</f>
        <v>82751.22</v>
      </c>
      <c r="AB316" s="10">
        <f t="shared" ref="AB316" si="342">AB99+AB121+AB143+AB165+AB191+AB213+AB261+AB287+AB309+AB235</f>
        <v>85173.390000000014</v>
      </c>
      <c r="AC316" s="10">
        <f t="shared" si="341"/>
        <v>82432.169999999984</v>
      </c>
      <c r="AD316"/>
      <c r="AE316" s="18"/>
      <c r="AF316" s="18"/>
    </row>
    <row r="317" spans="1:32" s="5" customFormat="1" ht="11.25" customHeight="1">
      <c r="A317" s="9" t="s">
        <v>4</v>
      </c>
      <c r="B317" s="9"/>
      <c r="C317" s="9"/>
      <c r="D317" s="10"/>
      <c r="E317" s="10"/>
      <c r="F317" s="10">
        <f t="shared" ref="F317:N317" si="343">SUM(F313:F316)</f>
        <v>681051</v>
      </c>
      <c r="G317" s="10">
        <f t="shared" si="343"/>
        <v>666258</v>
      </c>
      <c r="H317" s="10">
        <f t="shared" si="343"/>
        <v>663397</v>
      </c>
      <c r="I317" s="10">
        <f t="shared" si="343"/>
        <v>668412</v>
      </c>
      <c r="J317" s="10">
        <f t="shared" si="343"/>
        <v>684950</v>
      </c>
      <c r="K317" s="10">
        <f>SUM(K313:K316)</f>
        <v>686420</v>
      </c>
      <c r="L317" s="10">
        <f>SUM(L313:L316)</f>
        <v>698976</v>
      </c>
      <c r="M317" s="10">
        <f>SUM(M313:M316)</f>
        <v>718643</v>
      </c>
      <c r="N317" s="10">
        <f t="shared" si="343"/>
        <v>753635</v>
      </c>
      <c r="O317" s="10">
        <f t="shared" ref="O317:AC317" si="344">SUM(O313:O316)</f>
        <v>756773</v>
      </c>
      <c r="P317" s="9">
        <f t="shared" si="344"/>
        <v>740420</v>
      </c>
      <c r="Q317" s="9">
        <f t="shared" si="344"/>
        <v>714760</v>
      </c>
      <c r="R317" s="9">
        <f t="shared" si="344"/>
        <v>693884</v>
      </c>
      <c r="S317" s="9">
        <f t="shared" si="344"/>
        <v>679470</v>
      </c>
      <c r="T317" s="9">
        <f t="shared" si="344"/>
        <v>701610</v>
      </c>
      <c r="U317" s="9">
        <f t="shared" ref="U317:AB317" si="345">SUM(U313:U316)</f>
        <v>729412</v>
      </c>
      <c r="V317" s="10">
        <f t="shared" si="345"/>
        <v>765855</v>
      </c>
      <c r="W317" s="10">
        <f t="shared" si="345"/>
        <v>785183</v>
      </c>
      <c r="X317" s="10">
        <f t="shared" si="345"/>
        <v>824654</v>
      </c>
      <c r="Y317" s="10">
        <f t="shared" si="345"/>
        <v>864310</v>
      </c>
      <c r="Z317" s="10">
        <f t="shared" si="345"/>
        <v>921735</v>
      </c>
      <c r="AA317" s="99">
        <f t="shared" si="345"/>
        <v>962984.28999999992</v>
      </c>
      <c r="AB317" s="99">
        <f t="shared" si="345"/>
        <v>993077.82999999984</v>
      </c>
      <c r="AC317" s="99">
        <f t="shared" si="344"/>
        <v>1004138.8700000001</v>
      </c>
      <c r="AD317"/>
    </row>
    <row r="318" spans="1:32" ht="5.25" customHeight="1">
      <c r="A318" s="3"/>
      <c r="B318" s="3"/>
      <c r="C318" s="3"/>
      <c r="P318" s="1"/>
      <c r="Q318" s="1"/>
      <c r="R318" s="1"/>
      <c r="S318" s="1"/>
      <c r="T318" s="1"/>
      <c r="U318" s="1"/>
    </row>
    <row r="319" spans="1:32" ht="10.5" customHeight="1">
      <c r="C319" s="91" t="s">
        <v>75</v>
      </c>
      <c r="P319" s="1"/>
      <c r="Q319" s="30" t="s">
        <v>19</v>
      </c>
      <c r="R319" s="43">
        <v>43224</v>
      </c>
      <c r="S319" s="43">
        <v>43802</v>
      </c>
      <c r="T319" s="43">
        <v>42178</v>
      </c>
      <c r="U319" s="43">
        <v>43393</v>
      </c>
      <c r="V319" s="43">
        <v>45205</v>
      </c>
      <c r="W319" s="41">
        <v>46703</v>
      </c>
      <c r="X319" s="41">
        <v>43790</v>
      </c>
      <c r="Y319" s="41">
        <v>45122</v>
      </c>
      <c r="Z319" s="41">
        <v>47136</v>
      </c>
      <c r="AA319" s="41">
        <v>46389.81</v>
      </c>
      <c r="AB319" s="41">
        <v>45939</v>
      </c>
      <c r="AC319" s="143">
        <f>AC291+AC265+AC239+AC217+AC169+AC125+AC103+AC77</f>
        <v>47279.920000000006</v>
      </c>
      <c r="AD319" s="147">
        <v>47279.92</v>
      </c>
    </row>
    <row r="320" spans="1:32" ht="10.5" customHeight="1">
      <c r="C320" s="91" t="s">
        <v>76</v>
      </c>
      <c r="P320" s="1"/>
      <c r="Q320" s="30" t="s">
        <v>20</v>
      </c>
      <c r="R320" s="43">
        <v>340676</v>
      </c>
      <c r="S320" s="43">
        <v>332497</v>
      </c>
      <c r="T320" s="43">
        <v>343723</v>
      </c>
      <c r="U320" s="43">
        <v>355089</v>
      </c>
      <c r="V320" s="43">
        <v>374416</v>
      </c>
      <c r="W320" s="42">
        <v>385169</v>
      </c>
      <c r="X320" s="42">
        <v>405766</v>
      </c>
      <c r="Y320" s="42">
        <v>423637</v>
      </c>
      <c r="Z320" s="42">
        <v>453852</v>
      </c>
      <c r="AA320" s="42">
        <v>475134.05</v>
      </c>
      <c r="AB320" s="42">
        <v>493177.1</v>
      </c>
      <c r="AC320" s="144">
        <f>AC296+AC271+AC245+AC222+AC175+AC130+AC108+AC83</f>
        <v>497571.34</v>
      </c>
      <c r="AD320" s="148">
        <v>497571.34</v>
      </c>
    </row>
    <row r="321" spans="3:32" ht="10.5" customHeight="1">
      <c r="C321" s="91" t="s">
        <v>77</v>
      </c>
      <c r="P321" s="1"/>
      <c r="Q321" s="30" t="s">
        <v>21</v>
      </c>
      <c r="R321" s="43">
        <v>309984</v>
      </c>
      <c r="S321" s="43">
        <v>303171</v>
      </c>
      <c r="T321" s="43">
        <v>315709</v>
      </c>
      <c r="U321" s="43">
        <v>330930</v>
      </c>
      <c r="V321" s="43">
        <v>346234</v>
      </c>
      <c r="W321" s="32">
        <v>353311</v>
      </c>
      <c r="X321" s="32">
        <v>375098</v>
      </c>
      <c r="Y321" s="32">
        <v>395551</v>
      </c>
      <c r="Z321" s="32">
        <v>420747</v>
      </c>
      <c r="AA321" s="32">
        <v>441460.43</v>
      </c>
      <c r="AB321" s="32">
        <v>453962.2</v>
      </c>
      <c r="AC321" s="145">
        <f>AC301+AC277+AC251+AC227+AC181+AC135+AC113+AC89</f>
        <v>459287.61</v>
      </c>
      <c r="AD321" s="150">
        <v>459287.6</v>
      </c>
    </row>
    <row r="322" spans="3:32" ht="10.5" customHeight="1">
      <c r="C322" s="91" t="s">
        <v>78</v>
      </c>
      <c r="P322" s="1"/>
      <c r="Q322" s="33" t="s">
        <v>22</v>
      </c>
      <c r="R322" s="43">
        <f t="shared" ref="R322:Z322" si="346">SUM(R319:R321)</f>
        <v>693884</v>
      </c>
      <c r="S322" s="43">
        <f t="shared" si="346"/>
        <v>679470</v>
      </c>
      <c r="T322" s="43">
        <f t="shared" si="346"/>
        <v>701610</v>
      </c>
      <c r="U322" s="43">
        <f t="shared" si="346"/>
        <v>729412</v>
      </c>
      <c r="V322" s="43">
        <f t="shared" si="346"/>
        <v>765855</v>
      </c>
      <c r="W322" s="31">
        <f t="shared" si="346"/>
        <v>785183</v>
      </c>
      <c r="X322" s="31">
        <f t="shared" si="346"/>
        <v>824654</v>
      </c>
      <c r="Y322" s="31">
        <f t="shared" si="346"/>
        <v>864310</v>
      </c>
      <c r="Z322" s="31">
        <f t="shared" si="346"/>
        <v>921735</v>
      </c>
      <c r="AA322" s="31">
        <f>SUM(AA319:AA321)</f>
        <v>962984.29</v>
      </c>
      <c r="AB322" s="31">
        <f t="shared" ref="AB322" si="347">SUM(AB319:AB321)</f>
        <v>993078.3</v>
      </c>
      <c r="AC322" s="146">
        <f>SUM(AC319:AC321)</f>
        <v>1004138.87</v>
      </c>
      <c r="AD322" s="149">
        <f>SUM(AD319:AD321)</f>
        <v>1004138.86</v>
      </c>
      <c r="AF322" s="28"/>
    </row>
    <row r="323" spans="3:32" ht="12.75" customHeight="1">
      <c r="P323" s="1"/>
      <c r="Q323" s="30"/>
      <c r="R323" s="30"/>
      <c r="S323" s="30"/>
      <c r="T323" s="30"/>
      <c r="U323" s="34"/>
      <c r="V323" s="34"/>
      <c r="W323" s="34"/>
      <c r="X323" s="34"/>
      <c r="Y323" s="34"/>
      <c r="Z323" s="34"/>
      <c r="AA323" s="34"/>
      <c r="AB323" s="34"/>
      <c r="AC323" s="34"/>
    </row>
    <row r="324" spans="3:32" ht="12.75" customHeight="1">
      <c r="P324" s="1"/>
      <c r="Q324" s="1"/>
      <c r="R324" s="1"/>
      <c r="S324" s="1"/>
      <c r="T324" s="1"/>
      <c r="AE324" s="7"/>
    </row>
    <row r="325" spans="3:32" ht="12.75" customHeight="1">
      <c r="P325" s="1"/>
      <c r="Q325" s="1"/>
      <c r="R325" s="1"/>
      <c r="S325" s="1"/>
      <c r="T325" s="1"/>
      <c r="AE325" s="7"/>
    </row>
    <row r="326" spans="3:32" ht="12.75" customHeight="1">
      <c r="P326" s="1"/>
      <c r="Q326" s="1"/>
      <c r="R326" s="1"/>
      <c r="S326" s="1"/>
      <c r="T326" s="1"/>
    </row>
    <row r="327" spans="3:32" ht="12.75" customHeight="1">
      <c r="P327" s="1"/>
      <c r="Q327" s="1"/>
      <c r="R327" s="1"/>
      <c r="S327" s="1"/>
      <c r="T327" s="1"/>
    </row>
    <row r="328" spans="3:32" ht="12.75" customHeight="1">
      <c r="P328" s="1"/>
      <c r="Q328" s="1"/>
      <c r="R328" s="1"/>
      <c r="S328" s="1"/>
      <c r="T328" s="1"/>
    </row>
    <row r="329" spans="3:32" ht="12.75" customHeight="1">
      <c r="P329" s="1"/>
      <c r="Q329" s="1"/>
      <c r="R329" s="1"/>
      <c r="S329" s="1"/>
      <c r="T329" s="1"/>
    </row>
    <row r="330" spans="3:32" ht="12.75" customHeight="1">
      <c r="P330" s="1"/>
      <c r="Q330" s="1"/>
      <c r="R330" s="1"/>
      <c r="S330" s="1"/>
      <c r="T330" s="1"/>
    </row>
    <row r="331" spans="3:32" ht="12.75" customHeight="1">
      <c r="P331" s="1"/>
      <c r="Q331" s="1"/>
      <c r="R331" s="1"/>
      <c r="S331" s="1"/>
      <c r="T331" s="1"/>
    </row>
    <row r="332" spans="3:32" ht="12.75" customHeight="1">
      <c r="P332" s="1"/>
      <c r="Q332" s="1"/>
      <c r="R332" s="1"/>
      <c r="S332" s="1"/>
      <c r="T332" s="1"/>
    </row>
    <row r="333" spans="3:32" ht="12.75" customHeight="1">
      <c r="P333" s="1"/>
      <c r="Q333" s="1"/>
      <c r="R333" s="1"/>
      <c r="S333" s="1"/>
      <c r="T333" s="1"/>
    </row>
    <row r="334" spans="3:32" ht="12.75" customHeight="1">
      <c r="P334" s="1"/>
      <c r="Q334" s="1"/>
      <c r="R334" s="1"/>
      <c r="S334" s="1"/>
      <c r="T334" s="1"/>
    </row>
    <row r="335" spans="3:32" ht="12.75" customHeight="1">
      <c r="P335" s="1"/>
      <c r="Q335" s="1"/>
      <c r="R335" s="1"/>
      <c r="S335" s="1"/>
      <c r="T335" s="1"/>
    </row>
    <row r="336" spans="3:32" ht="12.75" customHeight="1">
      <c r="P336" s="1"/>
      <c r="Q336" s="1"/>
      <c r="R336" s="1"/>
      <c r="S336" s="1"/>
      <c r="T336" s="1"/>
    </row>
    <row r="337" spans="16:20" ht="12.75" customHeight="1">
      <c r="P337" s="1"/>
      <c r="Q337" s="1"/>
      <c r="R337" s="1"/>
      <c r="S337" s="1"/>
      <c r="T337" s="1"/>
    </row>
    <row r="338" spans="16:20" ht="12.75" customHeight="1">
      <c r="P338" s="1"/>
      <c r="Q338" s="1"/>
      <c r="R338" s="1"/>
      <c r="S338" s="1"/>
      <c r="T338" s="1"/>
    </row>
    <row r="339" spans="16:20" ht="12.75" customHeight="1">
      <c r="P339" s="1"/>
      <c r="Q339" s="1"/>
      <c r="R339" s="1"/>
      <c r="S339" s="1"/>
      <c r="T339" s="1"/>
    </row>
    <row r="340" spans="16:20" ht="12.75" customHeight="1">
      <c r="P340" s="1"/>
      <c r="Q340" s="1"/>
      <c r="R340" s="1"/>
      <c r="S340" s="1"/>
      <c r="T340" s="1"/>
    </row>
    <row r="341" spans="16:20" ht="12.75" customHeight="1">
      <c r="P341" s="1"/>
      <c r="Q341" s="1"/>
      <c r="R341" s="1"/>
      <c r="S341" s="1"/>
      <c r="T341" s="1"/>
    </row>
    <row r="342" spans="16:20" ht="12.75" customHeight="1">
      <c r="P342" s="1"/>
      <c r="Q342" s="1"/>
      <c r="R342" s="1"/>
      <c r="S342" s="1"/>
      <c r="T342" s="1"/>
    </row>
    <row r="343" spans="16:20" ht="12.75" customHeight="1">
      <c r="P343" s="1"/>
      <c r="Q343" s="1"/>
      <c r="R343" s="1"/>
      <c r="S343" s="1"/>
      <c r="T343" s="1"/>
    </row>
    <row r="344" spans="16:20" ht="12.75" customHeight="1">
      <c r="P344" s="1"/>
      <c r="Q344" s="1"/>
      <c r="R344" s="1"/>
      <c r="S344" s="1"/>
      <c r="T344" s="1"/>
    </row>
    <row r="345" spans="16:20" ht="12.75" customHeight="1">
      <c r="P345" s="1"/>
      <c r="Q345" s="1"/>
      <c r="R345" s="1"/>
      <c r="S345" s="1"/>
      <c r="T345" s="1"/>
    </row>
    <row r="346" spans="16:20" ht="12.75" customHeight="1">
      <c r="P346" s="1"/>
      <c r="Q346" s="1"/>
      <c r="R346" s="1"/>
      <c r="S346" s="1"/>
      <c r="T346" s="1"/>
    </row>
    <row r="347" spans="16:20" ht="12.75" customHeight="1">
      <c r="P347" s="1"/>
      <c r="Q347" s="1"/>
      <c r="R347" s="1"/>
      <c r="S347" s="1"/>
      <c r="T347" s="1"/>
    </row>
    <row r="348" spans="16:20" ht="12.75" customHeight="1">
      <c r="P348" s="1"/>
      <c r="Q348" s="1"/>
      <c r="R348" s="1"/>
      <c r="S348" s="1"/>
      <c r="T348" s="1"/>
    </row>
    <row r="349" spans="16:20" ht="12.75" customHeight="1">
      <c r="P349" s="1"/>
      <c r="Q349" s="1"/>
      <c r="R349" s="1"/>
      <c r="S349" s="1"/>
      <c r="T349" s="1"/>
    </row>
    <row r="350" spans="16:20" ht="12.75" customHeight="1">
      <c r="P350" s="1"/>
      <c r="Q350" s="1"/>
      <c r="R350" s="1"/>
      <c r="S350" s="1"/>
      <c r="T350" s="1"/>
    </row>
    <row r="351" spans="16:20" ht="12.75" customHeight="1">
      <c r="P351" s="1"/>
      <c r="Q351" s="1"/>
      <c r="R351" s="1"/>
      <c r="S351" s="1"/>
      <c r="T351" s="1"/>
    </row>
    <row r="352" spans="16:20" ht="12.75" customHeight="1">
      <c r="P352" s="1"/>
      <c r="Q352" s="1"/>
      <c r="R352" s="1"/>
      <c r="S352" s="1"/>
      <c r="T352" s="1"/>
    </row>
    <row r="353" spans="16:20" ht="12.75" customHeight="1">
      <c r="P353" s="1"/>
      <c r="Q353" s="1"/>
      <c r="R353" s="1"/>
      <c r="S353" s="1"/>
      <c r="T353" s="1"/>
    </row>
    <row r="354" spans="16:20" ht="12.75" customHeight="1">
      <c r="P354" s="1"/>
      <c r="Q354" s="1"/>
      <c r="R354" s="1"/>
      <c r="S354" s="1"/>
      <c r="T354" s="1"/>
    </row>
    <row r="355" spans="16:20" ht="12.75" customHeight="1">
      <c r="P355" s="1"/>
      <c r="Q355" s="1"/>
      <c r="R355" s="1"/>
      <c r="S355" s="1"/>
      <c r="T355" s="1"/>
    </row>
    <row r="356" spans="16:20" ht="12.75" customHeight="1">
      <c r="P356" s="1"/>
      <c r="Q356" s="1"/>
      <c r="R356" s="1"/>
      <c r="S356" s="1"/>
      <c r="T356" s="1"/>
    </row>
    <row r="357" spans="16:20">
      <c r="P357" s="1"/>
      <c r="Q357" s="1"/>
      <c r="R357" s="1"/>
      <c r="S357" s="1"/>
      <c r="T357" s="1"/>
    </row>
    <row r="358" spans="16:20">
      <c r="P358" s="1"/>
      <c r="Q358" s="1"/>
      <c r="R358" s="1"/>
      <c r="S358" s="1"/>
      <c r="T358" s="1"/>
    </row>
    <row r="359" spans="16:20">
      <c r="P359" s="1"/>
      <c r="Q359" s="1"/>
      <c r="R359" s="1"/>
      <c r="S359" s="1"/>
      <c r="T359" s="1"/>
    </row>
    <row r="360" spans="16:20">
      <c r="P360" s="1"/>
      <c r="Q360" s="1"/>
      <c r="R360" s="1"/>
      <c r="S360" s="1"/>
      <c r="T360" s="1"/>
    </row>
    <row r="361" spans="16:20">
      <c r="P361" s="1"/>
      <c r="Q361" s="1"/>
      <c r="R361" s="1"/>
      <c r="S361" s="1"/>
      <c r="T361" s="1"/>
    </row>
    <row r="362" spans="16:20">
      <c r="P362" s="1"/>
      <c r="Q362" s="1"/>
      <c r="R362" s="1"/>
      <c r="S362" s="1"/>
      <c r="T362" s="1"/>
    </row>
    <row r="363" spans="16:20">
      <c r="P363" s="1"/>
      <c r="Q363" s="1"/>
      <c r="R363" s="1"/>
      <c r="S363" s="1"/>
      <c r="T363" s="1"/>
    </row>
    <row r="364" spans="16:20">
      <c r="P364" s="1"/>
      <c r="Q364" s="1"/>
    </row>
    <row r="365" spans="16:20">
      <c r="P365" s="1"/>
      <c r="Q365" s="1"/>
    </row>
    <row r="366" spans="16:20">
      <c r="P366" s="1"/>
      <c r="Q366" s="1"/>
    </row>
    <row r="367" spans="16:20">
      <c r="P367" s="1"/>
      <c r="Q367" s="1"/>
    </row>
    <row r="368" spans="16:20">
      <c r="P368" s="1"/>
      <c r="Q368" s="1"/>
    </row>
    <row r="369" spans="16:17">
      <c r="P369" s="1"/>
      <c r="Q369" s="1"/>
    </row>
    <row r="370" spans="16:17">
      <c r="P370" s="1"/>
      <c r="Q370" s="1"/>
    </row>
    <row r="371" spans="16:17">
      <c r="P371" s="1"/>
      <c r="Q371" s="1"/>
    </row>
    <row r="372" spans="16:17">
      <c r="P372" s="1"/>
      <c r="Q372" s="1"/>
    </row>
    <row r="373" spans="16:17">
      <c r="P373" s="1"/>
      <c r="Q373" s="1"/>
    </row>
    <row r="374" spans="16:17">
      <c r="P374" s="1"/>
      <c r="Q374" s="1"/>
    </row>
    <row r="375" spans="16:17">
      <c r="P375" s="1"/>
      <c r="Q375" s="1"/>
    </row>
    <row r="376" spans="16:17">
      <c r="P376" s="1"/>
      <c r="Q376" s="1"/>
    </row>
    <row r="377" spans="16:17">
      <c r="P377" s="1"/>
      <c r="Q377" s="1"/>
    </row>
    <row r="378" spans="16:17">
      <c r="P378" s="1"/>
      <c r="Q378" s="1"/>
    </row>
    <row r="379" spans="16:17">
      <c r="P379" s="1"/>
      <c r="Q379" s="1"/>
    </row>
    <row r="380" spans="16:17">
      <c r="P380" s="1"/>
      <c r="Q380" s="1"/>
    </row>
    <row r="381" spans="16:17">
      <c r="P381" s="1"/>
      <c r="Q381" s="1"/>
    </row>
    <row r="382" spans="16:17">
      <c r="P382" s="1"/>
      <c r="Q382" s="1"/>
    </row>
    <row r="383" spans="16:17">
      <c r="P383" s="1"/>
      <c r="Q383" s="1"/>
    </row>
    <row r="384" spans="16:17">
      <c r="P384" s="1"/>
      <c r="Q384" s="1"/>
    </row>
    <row r="385" spans="16:17">
      <c r="P385" s="1"/>
      <c r="Q385" s="1"/>
    </row>
    <row r="386" spans="16:17">
      <c r="P386" s="1"/>
      <c r="Q386" s="1"/>
    </row>
    <row r="387" spans="16:17">
      <c r="P387" s="1"/>
      <c r="Q387" s="1"/>
    </row>
    <row r="388" spans="16:17">
      <c r="P388" s="1"/>
      <c r="Q388" s="1"/>
    </row>
    <row r="389" spans="16:17">
      <c r="P389" s="1"/>
      <c r="Q389" s="1"/>
    </row>
    <row r="390" spans="16:17">
      <c r="P390" s="1"/>
      <c r="Q390" s="1"/>
    </row>
    <row r="391" spans="16:17">
      <c r="P391" s="1"/>
      <c r="Q391" s="1"/>
    </row>
    <row r="392" spans="16:17">
      <c r="P392" s="1"/>
      <c r="Q392" s="1"/>
    </row>
    <row r="393" spans="16:17">
      <c r="P393" s="1"/>
      <c r="Q393" s="1"/>
    </row>
    <row r="394" spans="16:17">
      <c r="P394" s="1"/>
      <c r="Q394" s="1"/>
    </row>
    <row r="395" spans="16:17">
      <c r="P395" s="1"/>
      <c r="Q395" s="1"/>
    </row>
    <row r="396" spans="16:17">
      <c r="P396" s="1"/>
      <c r="Q396" s="1"/>
    </row>
    <row r="397" spans="16:17">
      <c r="P397" s="1"/>
      <c r="Q397" s="1"/>
    </row>
    <row r="398" spans="16:17">
      <c r="P398" s="1"/>
      <c r="Q398" s="1"/>
    </row>
    <row r="399" spans="16:17">
      <c r="P399" s="1"/>
      <c r="Q399" s="1"/>
    </row>
    <row r="400" spans="16:17">
      <c r="P400" s="1"/>
      <c r="Q400" s="1"/>
    </row>
    <row r="401" spans="16:17">
      <c r="P401" s="1"/>
      <c r="Q401" s="1"/>
    </row>
    <row r="402" spans="16:17">
      <c r="P402" s="1"/>
      <c r="Q402" s="1"/>
    </row>
    <row r="403" spans="16:17">
      <c r="P403" s="1"/>
      <c r="Q403" s="1"/>
    </row>
    <row r="404" spans="16:17">
      <c r="P404" s="1"/>
      <c r="Q404" s="1"/>
    </row>
    <row r="405" spans="16:17">
      <c r="P405" s="1"/>
      <c r="Q405" s="1"/>
    </row>
    <row r="406" spans="16:17">
      <c r="P406" s="1"/>
      <c r="Q406" s="1"/>
    </row>
    <row r="407" spans="16:17">
      <c r="P407" s="1"/>
      <c r="Q407" s="1"/>
    </row>
    <row r="408" spans="16:17">
      <c r="P408" s="1"/>
      <c r="Q408" s="1"/>
    </row>
    <row r="409" spans="16:17">
      <c r="P409" s="1"/>
      <c r="Q409" s="1"/>
    </row>
    <row r="410" spans="16:17">
      <c r="P410" s="1"/>
      <c r="Q410" s="1"/>
    </row>
    <row r="411" spans="16:17">
      <c r="P411" s="1"/>
      <c r="Q411" s="1"/>
    </row>
    <row r="412" spans="16:17">
      <c r="P412" s="1"/>
      <c r="Q412" s="1"/>
    </row>
    <row r="413" spans="16:17">
      <c r="P413" s="1"/>
      <c r="Q413" s="1"/>
    </row>
    <row r="414" spans="16:17">
      <c r="P414" s="1"/>
      <c r="Q414" s="1"/>
    </row>
    <row r="415" spans="16:17">
      <c r="P415" s="1"/>
      <c r="Q415" s="1"/>
    </row>
    <row r="416" spans="16:17">
      <c r="P416" s="1"/>
      <c r="Q416" s="1"/>
    </row>
    <row r="417" spans="16:17">
      <c r="P417" s="1"/>
      <c r="Q417" s="1"/>
    </row>
    <row r="418" spans="16:17">
      <c r="P418" s="1"/>
      <c r="Q418" s="1"/>
    </row>
    <row r="419" spans="16:17">
      <c r="P419" s="1"/>
      <c r="Q419" s="1"/>
    </row>
    <row r="420" spans="16:17">
      <c r="P420" s="1"/>
      <c r="Q420" s="1"/>
    </row>
    <row r="421" spans="16:17">
      <c r="P421" s="1"/>
      <c r="Q421" s="1"/>
    </row>
    <row r="422" spans="16:17">
      <c r="P422" s="1"/>
      <c r="Q422" s="1"/>
    </row>
    <row r="423" spans="16:17">
      <c r="P423" s="1"/>
      <c r="Q423" s="1"/>
    </row>
    <row r="424" spans="16:17">
      <c r="P424" s="1"/>
      <c r="Q424" s="1"/>
    </row>
    <row r="425" spans="16:17">
      <c r="P425" s="1"/>
      <c r="Q425" s="1"/>
    </row>
    <row r="426" spans="16:17">
      <c r="P426" s="1"/>
      <c r="Q426" s="1"/>
    </row>
    <row r="427" spans="16:17">
      <c r="P427" s="1"/>
      <c r="Q427" s="1"/>
    </row>
    <row r="428" spans="16:17">
      <c r="P428" s="1"/>
      <c r="Q428" s="1"/>
    </row>
    <row r="429" spans="16:17">
      <c r="P429" s="1"/>
      <c r="Q429" s="1"/>
    </row>
    <row r="430" spans="16:17">
      <c r="P430" s="1"/>
      <c r="Q430" s="1"/>
    </row>
    <row r="431" spans="16:17">
      <c r="P431" s="1"/>
      <c r="Q431" s="1"/>
    </row>
    <row r="432" spans="16:17">
      <c r="P432" s="1"/>
      <c r="Q432" s="1"/>
    </row>
    <row r="433" spans="16:17">
      <c r="P433" s="1"/>
      <c r="Q433" s="1"/>
    </row>
    <row r="434" spans="16:17">
      <c r="P434" s="1"/>
      <c r="Q434" s="1"/>
    </row>
    <row r="435" spans="16:17">
      <c r="P435" s="1"/>
      <c r="Q435" s="1"/>
    </row>
    <row r="436" spans="16:17">
      <c r="P436" s="1"/>
      <c r="Q436" s="1"/>
    </row>
    <row r="437" spans="16:17">
      <c r="P437" s="1"/>
      <c r="Q437" s="1"/>
    </row>
    <row r="438" spans="16:17">
      <c r="P438" s="1"/>
      <c r="Q438" s="1"/>
    </row>
    <row r="439" spans="16:17">
      <c r="P439" s="1"/>
      <c r="Q439" s="1"/>
    </row>
    <row r="440" spans="16:17">
      <c r="P440" s="1"/>
      <c r="Q440" s="1"/>
    </row>
    <row r="441" spans="16:17">
      <c r="P441" s="1"/>
      <c r="Q441" s="1"/>
    </row>
    <row r="442" spans="16:17">
      <c r="P442" s="1"/>
      <c r="Q442" s="1"/>
    </row>
    <row r="443" spans="16:17">
      <c r="P443" s="1"/>
      <c r="Q443" s="1"/>
    </row>
    <row r="444" spans="16:17">
      <c r="P444" s="1"/>
      <c r="Q444" s="1"/>
    </row>
    <row r="445" spans="16:17">
      <c r="P445" s="1"/>
      <c r="Q445" s="1"/>
    </row>
    <row r="446" spans="16:17">
      <c r="P446" s="1"/>
      <c r="Q446" s="1"/>
    </row>
    <row r="447" spans="16:17">
      <c r="P447" s="1"/>
      <c r="Q447" s="1"/>
    </row>
    <row r="448" spans="16:17">
      <c r="P448" s="1"/>
      <c r="Q448" s="1"/>
    </row>
    <row r="449" spans="16:17">
      <c r="P449" s="1"/>
      <c r="Q449" s="1"/>
    </row>
    <row r="450" spans="16:17">
      <c r="P450" s="1"/>
      <c r="Q450" s="1"/>
    </row>
    <row r="451" spans="16:17">
      <c r="P451" s="1"/>
      <c r="Q451" s="1"/>
    </row>
    <row r="452" spans="16:17">
      <c r="P452" s="1"/>
      <c r="Q452" s="1"/>
    </row>
    <row r="453" spans="16:17">
      <c r="P453" s="1"/>
      <c r="Q453" s="1"/>
    </row>
    <row r="454" spans="16:17">
      <c r="P454" s="1"/>
      <c r="Q454" s="1"/>
    </row>
    <row r="455" spans="16:17">
      <c r="P455" s="1"/>
      <c r="Q455" s="1"/>
    </row>
    <row r="456" spans="16:17">
      <c r="P456" s="1"/>
      <c r="Q456" s="1"/>
    </row>
    <row r="457" spans="16:17">
      <c r="P457" s="1"/>
      <c r="Q457" s="1"/>
    </row>
    <row r="458" spans="16:17">
      <c r="P458" s="1"/>
      <c r="Q458" s="1"/>
    </row>
    <row r="459" spans="16:17">
      <c r="P459" s="1"/>
      <c r="Q459" s="1"/>
    </row>
    <row r="460" spans="16:17">
      <c r="P460" s="1"/>
      <c r="Q460" s="1"/>
    </row>
    <row r="461" spans="16:17">
      <c r="P461" s="1"/>
      <c r="Q461" s="1"/>
    </row>
    <row r="462" spans="16:17">
      <c r="P462" s="1"/>
      <c r="Q462" s="1"/>
    </row>
    <row r="463" spans="16:17">
      <c r="P463" s="1"/>
      <c r="Q463" s="1"/>
    </row>
    <row r="464" spans="16:17">
      <c r="P464" s="1"/>
      <c r="Q464" s="1"/>
    </row>
    <row r="465" spans="16:17">
      <c r="P465" s="1"/>
      <c r="Q465" s="1"/>
    </row>
    <row r="466" spans="16:17">
      <c r="P466" s="1"/>
      <c r="Q466" s="1"/>
    </row>
    <row r="467" spans="16:17">
      <c r="P467" s="1"/>
      <c r="Q467" s="1"/>
    </row>
    <row r="468" spans="16:17">
      <c r="P468" s="1"/>
      <c r="Q468" s="1"/>
    </row>
    <row r="469" spans="16:17">
      <c r="P469" s="1"/>
      <c r="Q469" s="1"/>
    </row>
    <row r="470" spans="16:17">
      <c r="P470" s="1"/>
      <c r="Q470" s="1"/>
    </row>
    <row r="471" spans="16:17">
      <c r="P471" s="1"/>
      <c r="Q471" s="1"/>
    </row>
    <row r="472" spans="16:17">
      <c r="P472" s="1"/>
      <c r="Q472" s="1"/>
    </row>
    <row r="473" spans="16:17">
      <c r="P473" s="1"/>
      <c r="Q473" s="1"/>
    </row>
    <row r="474" spans="16:17">
      <c r="P474" s="1"/>
      <c r="Q474" s="1"/>
    </row>
    <row r="475" spans="16:17">
      <c r="P475" s="1"/>
      <c r="Q475" s="1"/>
    </row>
    <row r="476" spans="16:17">
      <c r="P476" s="1"/>
      <c r="Q476" s="1"/>
    </row>
    <row r="477" spans="16:17">
      <c r="P477" s="1"/>
      <c r="Q477" s="1"/>
    </row>
    <row r="478" spans="16:17">
      <c r="P478" s="1"/>
      <c r="Q478" s="1"/>
    </row>
    <row r="479" spans="16:17">
      <c r="P479" s="1"/>
      <c r="Q479" s="1"/>
    </row>
    <row r="480" spans="16:17">
      <c r="P480" s="1"/>
      <c r="Q480" s="1"/>
    </row>
    <row r="481" spans="16:17">
      <c r="P481" s="1"/>
      <c r="Q481" s="1"/>
    </row>
    <row r="482" spans="16:17">
      <c r="P482" s="1"/>
      <c r="Q482" s="1"/>
    </row>
    <row r="483" spans="16:17">
      <c r="P483" s="1"/>
      <c r="Q483" s="1"/>
    </row>
    <row r="484" spans="16:17">
      <c r="P484" s="1"/>
      <c r="Q484" s="1"/>
    </row>
    <row r="485" spans="16:17">
      <c r="P485" s="1"/>
      <c r="Q485" s="1"/>
    </row>
    <row r="486" spans="16:17">
      <c r="P486" s="1"/>
      <c r="Q486" s="1"/>
    </row>
    <row r="487" spans="16:17">
      <c r="P487" s="1"/>
      <c r="Q487" s="1"/>
    </row>
    <row r="488" spans="16:17">
      <c r="P488" s="1"/>
      <c r="Q488" s="1"/>
    </row>
    <row r="489" spans="16:17">
      <c r="P489" s="1"/>
      <c r="Q489" s="1"/>
    </row>
    <row r="490" spans="16:17">
      <c r="P490" s="1"/>
      <c r="Q490" s="1"/>
    </row>
    <row r="491" spans="16:17">
      <c r="P491" s="1"/>
      <c r="Q491" s="1"/>
    </row>
    <row r="492" spans="16:17">
      <c r="P492" s="1"/>
      <c r="Q492" s="1"/>
    </row>
    <row r="493" spans="16:17">
      <c r="P493" s="1"/>
      <c r="Q493" s="1"/>
    </row>
    <row r="494" spans="16:17">
      <c r="P494" s="1"/>
      <c r="Q494" s="1"/>
    </row>
    <row r="495" spans="16:17">
      <c r="P495" s="1"/>
      <c r="Q495" s="1"/>
    </row>
    <row r="496" spans="16:17">
      <c r="P496" s="1"/>
      <c r="Q496" s="1"/>
    </row>
    <row r="497" spans="16:17">
      <c r="P497" s="1"/>
      <c r="Q497" s="1"/>
    </row>
    <row r="498" spans="16:17">
      <c r="P498" s="1"/>
      <c r="Q498" s="1"/>
    </row>
    <row r="499" spans="16:17">
      <c r="P499" s="1"/>
      <c r="Q499" s="1"/>
    </row>
    <row r="500" spans="16:17">
      <c r="P500" s="1"/>
      <c r="Q500" s="1"/>
    </row>
    <row r="501" spans="16:17">
      <c r="P501" s="1"/>
      <c r="Q501" s="1"/>
    </row>
    <row r="502" spans="16:17">
      <c r="P502" s="1"/>
      <c r="Q502" s="1"/>
    </row>
    <row r="503" spans="16:17">
      <c r="P503" s="1"/>
      <c r="Q503" s="1"/>
    </row>
    <row r="504" spans="16:17">
      <c r="P504" s="1"/>
      <c r="Q504" s="1"/>
    </row>
    <row r="505" spans="16:17">
      <c r="P505" s="1"/>
      <c r="Q505" s="1"/>
    </row>
    <row r="506" spans="16:17">
      <c r="P506" s="1"/>
      <c r="Q506" s="1"/>
    </row>
    <row r="507" spans="16:17">
      <c r="P507" s="1"/>
      <c r="Q507" s="1"/>
    </row>
    <row r="508" spans="16:17">
      <c r="P508" s="1"/>
      <c r="Q508" s="1"/>
    </row>
    <row r="509" spans="16:17">
      <c r="P509" s="1"/>
      <c r="Q509" s="1"/>
    </row>
    <row r="510" spans="16:17">
      <c r="P510" s="1"/>
      <c r="Q510" s="1"/>
    </row>
    <row r="511" spans="16:17">
      <c r="P511" s="1"/>
      <c r="Q511" s="1"/>
    </row>
    <row r="512" spans="16:17">
      <c r="P512" s="1"/>
      <c r="Q512" s="1"/>
    </row>
    <row r="513" spans="16:17">
      <c r="P513" s="1"/>
      <c r="Q513" s="1"/>
    </row>
    <row r="514" spans="16:17">
      <c r="P514" s="1"/>
      <c r="Q514" s="1"/>
    </row>
    <row r="515" spans="16:17">
      <c r="P515" s="1"/>
      <c r="Q515" s="1"/>
    </row>
    <row r="516" spans="16:17">
      <c r="P516" s="1"/>
      <c r="Q516" s="1"/>
    </row>
    <row r="517" spans="16:17">
      <c r="P517" s="1"/>
      <c r="Q517" s="1"/>
    </row>
    <row r="518" spans="16:17">
      <c r="P518" s="1"/>
      <c r="Q518" s="1"/>
    </row>
    <row r="519" spans="16:17">
      <c r="P519" s="1"/>
      <c r="Q519" s="1"/>
    </row>
    <row r="520" spans="16:17">
      <c r="P520" s="1"/>
      <c r="Q520" s="1"/>
    </row>
    <row r="521" spans="16:17">
      <c r="P521" s="1"/>
      <c r="Q521" s="1"/>
    </row>
    <row r="522" spans="16:17">
      <c r="P522" s="1"/>
      <c r="Q522" s="1"/>
    </row>
    <row r="523" spans="16:17">
      <c r="P523" s="1"/>
      <c r="Q523" s="1"/>
    </row>
    <row r="524" spans="16:17">
      <c r="P524" s="1"/>
      <c r="Q524" s="1"/>
    </row>
    <row r="525" spans="16:17">
      <c r="P525" s="1"/>
      <c r="Q525" s="1"/>
    </row>
    <row r="526" spans="16:17">
      <c r="P526" s="1"/>
      <c r="Q526" s="1"/>
    </row>
    <row r="527" spans="16:17">
      <c r="P527" s="1"/>
      <c r="Q527" s="1"/>
    </row>
    <row r="528" spans="16:17">
      <c r="P528" s="1"/>
      <c r="Q528" s="1"/>
    </row>
    <row r="529" spans="16:17">
      <c r="P529" s="1"/>
      <c r="Q529" s="1"/>
    </row>
    <row r="530" spans="16:17">
      <c r="P530" s="1"/>
      <c r="Q530" s="1"/>
    </row>
    <row r="531" spans="16:17">
      <c r="P531" s="1"/>
      <c r="Q531" s="1"/>
    </row>
    <row r="532" spans="16:17">
      <c r="P532" s="1"/>
      <c r="Q532" s="1"/>
    </row>
    <row r="533" spans="16:17">
      <c r="P533" s="1"/>
      <c r="Q533" s="1"/>
    </row>
    <row r="534" spans="16:17">
      <c r="P534" s="1"/>
      <c r="Q534" s="1"/>
    </row>
    <row r="535" spans="16:17">
      <c r="P535" s="1"/>
      <c r="Q535" s="1"/>
    </row>
    <row r="536" spans="16:17">
      <c r="P536" s="1"/>
      <c r="Q536" s="1"/>
    </row>
    <row r="537" spans="16:17">
      <c r="P537" s="1"/>
      <c r="Q537" s="1"/>
    </row>
    <row r="538" spans="16:17">
      <c r="P538" s="1"/>
      <c r="Q538" s="1"/>
    </row>
    <row r="539" spans="16:17">
      <c r="P539" s="1"/>
      <c r="Q539" s="1"/>
    </row>
    <row r="540" spans="16:17">
      <c r="P540" s="1"/>
      <c r="Q540" s="1"/>
    </row>
    <row r="541" spans="16:17">
      <c r="P541" s="1"/>
      <c r="Q541" s="1"/>
    </row>
    <row r="542" spans="16:17">
      <c r="P542" s="1"/>
      <c r="Q542" s="1"/>
    </row>
    <row r="543" spans="16:17">
      <c r="P543" s="1"/>
      <c r="Q543" s="1"/>
    </row>
    <row r="544" spans="16:17">
      <c r="P544" s="1"/>
      <c r="Q544" s="1"/>
    </row>
    <row r="545" spans="16:17">
      <c r="P545" s="1"/>
      <c r="Q545" s="1"/>
    </row>
    <row r="546" spans="16:17">
      <c r="P546" s="1"/>
      <c r="Q546" s="1"/>
    </row>
    <row r="547" spans="16:17">
      <c r="P547" s="1"/>
      <c r="Q547" s="1"/>
    </row>
    <row r="548" spans="16:17">
      <c r="P548" s="1"/>
      <c r="Q548" s="1"/>
    </row>
    <row r="549" spans="16:17">
      <c r="P549" s="1"/>
      <c r="Q549" s="1"/>
    </row>
    <row r="550" spans="16:17">
      <c r="P550" s="1"/>
      <c r="Q550" s="1"/>
    </row>
    <row r="551" spans="16:17">
      <c r="P551" s="1"/>
      <c r="Q551" s="1"/>
    </row>
    <row r="552" spans="16:17">
      <c r="P552" s="1"/>
      <c r="Q552" s="1"/>
    </row>
    <row r="553" spans="16:17">
      <c r="P553" s="1"/>
      <c r="Q553" s="1"/>
    </row>
    <row r="554" spans="16:17">
      <c r="P554" s="1"/>
      <c r="Q554" s="1"/>
    </row>
    <row r="555" spans="16:17">
      <c r="P555" s="1"/>
      <c r="Q555" s="1"/>
    </row>
    <row r="556" spans="16:17">
      <c r="P556" s="1"/>
      <c r="Q556" s="1"/>
    </row>
    <row r="557" spans="16:17">
      <c r="P557" s="1"/>
      <c r="Q557" s="1"/>
    </row>
    <row r="558" spans="16:17">
      <c r="P558" s="1"/>
      <c r="Q558" s="1"/>
    </row>
    <row r="559" spans="16:17">
      <c r="P559" s="1"/>
      <c r="Q559" s="1"/>
    </row>
    <row r="560" spans="16:17">
      <c r="P560" s="1"/>
      <c r="Q560" s="1"/>
    </row>
    <row r="561" spans="16:17">
      <c r="P561" s="1"/>
      <c r="Q561" s="1"/>
    </row>
    <row r="562" spans="16:17">
      <c r="P562" s="1"/>
      <c r="Q562" s="1"/>
    </row>
    <row r="563" spans="16:17">
      <c r="P563" s="1"/>
      <c r="Q563" s="1"/>
    </row>
    <row r="564" spans="16:17">
      <c r="P564" s="1"/>
      <c r="Q564" s="1"/>
    </row>
    <row r="565" spans="16:17">
      <c r="P565" s="1"/>
      <c r="Q565" s="1"/>
    </row>
    <row r="566" spans="16:17">
      <c r="P566" s="1"/>
      <c r="Q566" s="1"/>
    </row>
    <row r="567" spans="16:17">
      <c r="P567" s="1"/>
      <c r="Q567" s="1"/>
    </row>
    <row r="568" spans="16:17">
      <c r="P568" s="1"/>
      <c r="Q568" s="1"/>
    </row>
    <row r="569" spans="16:17">
      <c r="P569" s="1"/>
      <c r="Q569" s="1"/>
    </row>
    <row r="570" spans="16:17">
      <c r="P570" s="1"/>
      <c r="Q570" s="1"/>
    </row>
    <row r="571" spans="16:17">
      <c r="P571" s="1"/>
      <c r="Q571" s="1"/>
    </row>
    <row r="572" spans="16:17">
      <c r="P572" s="1"/>
      <c r="Q572" s="1"/>
    </row>
    <row r="573" spans="16:17">
      <c r="P573" s="1"/>
      <c r="Q573" s="1"/>
    </row>
    <row r="574" spans="16:17">
      <c r="P574" s="1"/>
      <c r="Q574" s="1"/>
    </row>
    <row r="575" spans="16:17">
      <c r="P575" s="1"/>
      <c r="Q575" s="1"/>
    </row>
    <row r="576" spans="16:17">
      <c r="P576" s="1"/>
      <c r="Q576" s="1"/>
    </row>
    <row r="577" spans="16:17">
      <c r="P577" s="1"/>
      <c r="Q577" s="1"/>
    </row>
    <row r="578" spans="16:17">
      <c r="P578" s="1"/>
      <c r="Q578" s="1"/>
    </row>
    <row r="579" spans="16:17">
      <c r="P579" s="1"/>
      <c r="Q579" s="1"/>
    </row>
    <row r="580" spans="16:17">
      <c r="P580" s="1"/>
      <c r="Q580" s="1"/>
    </row>
    <row r="581" spans="16:17">
      <c r="P581" s="1"/>
      <c r="Q581" s="1"/>
    </row>
    <row r="582" spans="16:17">
      <c r="P582" s="1"/>
      <c r="Q582" s="1"/>
    </row>
    <row r="583" spans="16:17">
      <c r="P583" s="1"/>
      <c r="Q583" s="1"/>
    </row>
    <row r="584" spans="16:17">
      <c r="P584" s="1"/>
      <c r="Q584" s="1"/>
    </row>
    <row r="585" spans="16:17">
      <c r="P585" s="1"/>
      <c r="Q585" s="1"/>
    </row>
    <row r="586" spans="16:17">
      <c r="P586" s="1"/>
      <c r="Q586" s="1"/>
    </row>
    <row r="587" spans="16:17">
      <c r="P587" s="1"/>
      <c r="Q587" s="1"/>
    </row>
    <row r="588" spans="16:17">
      <c r="P588" s="1"/>
      <c r="Q588" s="1"/>
    </row>
    <row r="589" spans="16:17">
      <c r="P589" s="1"/>
      <c r="Q589" s="1"/>
    </row>
    <row r="590" spans="16:17">
      <c r="P590" s="1"/>
      <c r="Q590" s="1"/>
    </row>
    <row r="591" spans="16:17">
      <c r="P591" s="1"/>
      <c r="Q591" s="1"/>
    </row>
    <row r="592" spans="16:17">
      <c r="P592" s="1"/>
      <c r="Q592" s="1"/>
    </row>
    <row r="593" spans="16:17">
      <c r="P593" s="1"/>
      <c r="Q593" s="1"/>
    </row>
    <row r="594" spans="16:17">
      <c r="P594" s="1"/>
      <c r="Q594" s="1"/>
    </row>
    <row r="595" spans="16:17">
      <c r="P595" s="1"/>
      <c r="Q595" s="1"/>
    </row>
    <row r="596" spans="16:17">
      <c r="P596" s="1"/>
      <c r="Q596" s="1"/>
    </row>
    <row r="597" spans="16:17">
      <c r="P597" s="1"/>
      <c r="Q597" s="1"/>
    </row>
    <row r="598" spans="16:17">
      <c r="P598" s="1"/>
      <c r="Q598" s="1"/>
    </row>
    <row r="599" spans="16:17">
      <c r="P599" s="1"/>
      <c r="Q599" s="1"/>
    </row>
    <row r="600" spans="16:17">
      <c r="P600" s="1"/>
      <c r="Q600" s="1"/>
    </row>
    <row r="601" spans="16:17">
      <c r="P601" s="1"/>
      <c r="Q601" s="1"/>
    </row>
    <row r="602" spans="16:17">
      <c r="P602" s="1"/>
      <c r="Q602" s="1"/>
    </row>
    <row r="603" spans="16:17">
      <c r="P603" s="1"/>
      <c r="Q603" s="1"/>
    </row>
    <row r="604" spans="16:17">
      <c r="P604" s="1"/>
      <c r="Q604" s="1"/>
    </row>
    <row r="605" spans="16:17">
      <c r="P605" s="1"/>
      <c r="Q605" s="1"/>
    </row>
    <row r="606" spans="16:17">
      <c r="P606" s="1"/>
      <c r="Q606" s="1"/>
    </row>
    <row r="607" spans="16:17">
      <c r="P607" s="1"/>
      <c r="Q607" s="1"/>
    </row>
    <row r="608" spans="16:17">
      <c r="P608" s="1"/>
      <c r="Q608" s="1"/>
    </row>
    <row r="609" spans="16:17">
      <c r="P609" s="1"/>
      <c r="Q609" s="1"/>
    </row>
    <row r="610" spans="16:17">
      <c r="P610" s="1"/>
      <c r="Q610" s="1"/>
    </row>
    <row r="611" spans="16:17">
      <c r="P611" s="1"/>
      <c r="Q611" s="1"/>
    </row>
    <row r="612" spans="16:17">
      <c r="P612" s="1"/>
      <c r="Q612" s="1"/>
    </row>
    <row r="613" spans="16:17">
      <c r="P613" s="1"/>
      <c r="Q613" s="1"/>
    </row>
    <row r="614" spans="16:17">
      <c r="P614" s="1"/>
      <c r="Q614" s="1"/>
    </row>
    <row r="615" spans="16:17">
      <c r="P615" s="1"/>
      <c r="Q615" s="1"/>
    </row>
    <row r="616" spans="16:17">
      <c r="P616" s="1"/>
      <c r="Q616" s="1"/>
    </row>
    <row r="617" spans="16:17">
      <c r="P617" s="1"/>
      <c r="Q617" s="1"/>
    </row>
    <row r="618" spans="16:17">
      <c r="P618" s="1"/>
      <c r="Q618" s="1"/>
    </row>
    <row r="619" spans="16:17">
      <c r="P619" s="1"/>
      <c r="Q619" s="1"/>
    </row>
    <row r="620" spans="16:17">
      <c r="P620" s="1"/>
      <c r="Q620" s="1"/>
    </row>
    <row r="621" spans="16:17">
      <c r="P621" s="1"/>
      <c r="Q621" s="1"/>
    </row>
    <row r="622" spans="16:17">
      <c r="P622" s="1"/>
      <c r="Q622" s="1"/>
    </row>
    <row r="623" spans="16:17">
      <c r="P623" s="1"/>
      <c r="Q623" s="1"/>
    </row>
    <row r="624" spans="16:17">
      <c r="P624" s="1"/>
      <c r="Q624" s="1"/>
    </row>
    <row r="625" spans="16:17">
      <c r="P625" s="1"/>
      <c r="Q625" s="1"/>
    </row>
    <row r="626" spans="16:17">
      <c r="P626" s="1"/>
      <c r="Q626" s="1"/>
    </row>
    <row r="627" spans="16:17">
      <c r="P627" s="1"/>
      <c r="Q627" s="1"/>
    </row>
    <row r="628" spans="16:17">
      <c r="P628" s="1"/>
      <c r="Q628" s="1"/>
    </row>
    <row r="629" spans="16:17">
      <c r="P629" s="1"/>
      <c r="Q629" s="1"/>
    </row>
    <row r="630" spans="16:17">
      <c r="P630" s="1"/>
      <c r="Q630" s="1"/>
    </row>
    <row r="631" spans="16:17">
      <c r="P631" s="1"/>
      <c r="Q631" s="1"/>
    </row>
    <row r="632" spans="16:17">
      <c r="P632" s="1"/>
      <c r="Q632" s="1"/>
    </row>
    <row r="633" spans="16:17">
      <c r="P633" s="1"/>
      <c r="Q633" s="1"/>
    </row>
    <row r="634" spans="16:17">
      <c r="P634" s="1"/>
      <c r="Q634" s="1"/>
    </row>
    <row r="635" spans="16:17">
      <c r="P635" s="1"/>
      <c r="Q635" s="1"/>
    </row>
    <row r="636" spans="16:17">
      <c r="P636" s="1"/>
      <c r="Q636" s="1"/>
    </row>
    <row r="637" spans="16:17">
      <c r="P637" s="1"/>
      <c r="Q637" s="1"/>
    </row>
    <row r="638" spans="16:17">
      <c r="P638" s="1"/>
      <c r="Q638" s="1"/>
    </row>
    <row r="639" spans="16:17">
      <c r="P639" s="1"/>
      <c r="Q639" s="1"/>
    </row>
    <row r="640" spans="16:17">
      <c r="P640" s="1"/>
      <c r="Q640" s="1"/>
    </row>
    <row r="641" spans="16:17">
      <c r="P641" s="1"/>
      <c r="Q641" s="1"/>
    </row>
    <row r="642" spans="16:17">
      <c r="P642" s="1"/>
      <c r="Q642" s="1"/>
    </row>
    <row r="643" spans="16:17">
      <c r="P643" s="1"/>
      <c r="Q643" s="1"/>
    </row>
    <row r="644" spans="16:17">
      <c r="P644" s="1"/>
      <c r="Q644" s="1"/>
    </row>
    <row r="645" spans="16:17">
      <c r="P645" s="1"/>
      <c r="Q645" s="1"/>
    </row>
    <row r="646" spans="16:17">
      <c r="P646" s="1"/>
      <c r="Q646" s="1"/>
    </row>
    <row r="647" spans="16:17">
      <c r="P647" s="1"/>
      <c r="Q647" s="1"/>
    </row>
    <row r="648" spans="16:17">
      <c r="P648" s="1"/>
      <c r="Q648" s="1"/>
    </row>
    <row r="649" spans="16:17">
      <c r="P649" s="1"/>
      <c r="Q649" s="1"/>
    </row>
    <row r="650" spans="16:17">
      <c r="P650" s="1"/>
      <c r="Q650" s="1"/>
    </row>
    <row r="651" spans="16:17">
      <c r="P651" s="1"/>
      <c r="Q651" s="1"/>
    </row>
    <row r="652" spans="16:17">
      <c r="P652" s="1"/>
      <c r="Q652" s="1"/>
    </row>
    <row r="653" spans="16:17">
      <c r="P653" s="1"/>
      <c r="Q653" s="1"/>
    </row>
    <row r="654" spans="16:17">
      <c r="P654" s="1"/>
      <c r="Q654" s="1"/>
    </row>
    <row r="655" spans="16:17">
      <c r="P655" s="1"/>
      <c r="Q655" s="1"/>
    </row>
    <row r="656" spans="16:17">
      <c r="P656" s="1"/>
      <c r="Q656" s="1"/>
    </row>
    <row r="657" spans="16:17">
      <c r="P657" s="1"/>
      <c r="Q657" s="1"/>
    </row>
    <row r="658" spans="16:17">
      <c r="P658" s="1"/>
      <c r="Q658" s="1"/>
    </row>
    <row r="659" spans="16:17">
      <c r="P659" s="1"/>
      <c r="Q659" s="1"/>
    </row>
    <row r="660" spans="16:17">
      <c r="P660" s="1"/>
      <c r="Q660" s="1"/>
    </row>
    <row r="661" spans="16:17">
      <c r="P661" s="1"/>
      <c r="Q661" s="1"/>
    </row>
    <row r="662" spans="16:17">
      <c r="P662" s="1"/>
      <c r="Q662" s="1"/>
    </row>
    <row r="663" spans="16:17">
      <c r="P663" s="1"/>
      <c r="Q663" s="1"/>
    </row>
    <row r="664" spans="16:17">
      <c r="P664" s="1"/>
      <c r="Q664" s="1"/>
    </row>
    <row r="665" spans="16:17">
      <c r="P665" s="1"/>
      <c r="Q665" s="1"/>
    </row>
    <row r="666" spans="16:17">
      <c r="P666" s="1"/>
      <c r="Q666" s="1"/>
    </row>
    <row r="667" spans="16:17">
      <c r="P667" s="1"/>
      <c r="Q667" s="1"/>
    </row>
    <row r="668" spans="16:17">
      <c r="P668" s="1"/>
      <c r="Q668" s="1"/>
    </row>
    <row r="669" spans="16:17">
      <c r="P669" s="1"/>
      <c r="Q669" s="1"/>
    </row>
    <row r="670" spans="16:17">
      <c r="P670" s="1"/>
      <c r="Q670" s="1"/>
    </row>
    <row r="671" spans="16:17">
      <c r="P671" s="1"/>
      <c r="Q671" s="1"/>
    </row>
    <row r="672" spans="16:17">
      <c r="P672" s="1"/>
      <c r="Q672" s="1"/>
    </row>
    <row r="673" spans="16:17">
      <c r="P673" s="1"/>
      <c r="Q673" s="1"/>
    </row>
    <row r="674" spans="16:17">
      <c r="P674" s="1"/>
      <c r="Q674" s="1"/>
    </row>
    <row r="675" spans="16:17">
      <c r="P675" s="1"/>
      <c r="Q675" s="1"/>
    </row>
    <row r="676" spans="16:17">
      <c r="P676" s="1"/>
      <c r="Q676" s="1"/>
    </row>
    <row r="677" spans="16:17">
      <c r="P677" s="1"/>
      <c r="Q677" s="1"/>
    </row>
    <row r="678" spans="16:17">
      <c r="P678" s="1"/>
      <c r="Q678" s="1"/>
    </row>
    <row r="679" spans="16:17">
      <c r="P679" s="1"/>
      <c r="Q679" s="1"/>
    </row>
    <row r="680" spans="16:17">
      <c r="P680" s="1"/>
      <c r="Q680" s="1"/>
    </row>
    <row r="681" spans="16:17">
      <c r="P681" s="1"/>
      <c r="Q681" s="1"/>
    </row>
    <row r="682" spans="16:17">
      <c r="P682" s="1"/>
      <c r="Q682" s="1"/>
    </row>
    <row r="683" spans="16:17">
      <c r="P683" s="1"/>
      <c r="Q683" s="1"/>
    </row>
    <row r="684" spans="16:17">
      <c r="P684" s="1"/>
      <c r="Q684" s="1"/>
    </row>
    <row r="685" spans="16:17">
      <c r="P685" s="1"/>
      <c r="Q685" s="1"/>
    </row>
    <row r="686" spans="16:17">
      <c r="P686" s="1"/>
      <c r="Q686" s="1"/>
    </row>
    <row r="687" spans="16:17">
      <c r="P687" s="1"/>
      <c r="Q687" s="1"/>
    </row>
    <row r="688" spans="16:17">
      <c r="P688" s="1"/>
      <c r="Q688" s="1"/>
    </row>
    <row r="689" spans="16:17">
      <c r="P689" s="1"/>
      <c r="Q689" s="1"/>
    </row>
    <row r="690" spans="16:17">
      <c r="P690" s="1"/>
      <c r="Q690" s="1"/>
    </row>
    <row r="691" spans="16:17">
      <c r="P691" s="1"/>
      <c r="Q691" s="1"/>
    </row>
    <row r="692" spans="16:17">
      <c r="P692" s="1"/>
      <c r="Q692" s="1"/>
    </row>
    <row r="693" spans="16:17">
      <c r="P693" s="1"/>
      <c r="Q693" s="1"/>
    </row>
    <row r="694" spans="16:17">
      <c r="P694" s="1"/>
      <c r="Q694" s="1"/>
    </row>
    <row r="695" spans="16:17">
      <c r="P695" s="1"/>
      <c r="Q695" s="1"/>
    </row>
    <row r="696" spans="16:17">
      <c r="P696" s="1"/>
      <c r="Q696" s="1"/>
    </row>
    <row r="697" spans="16:17">
      <c r="P697" s="1"/>
      <c r="Q697" s="1"/>
    </row>
    <row r="698" spans="16:17">
      <c r="P698" s="1"/>
      <c r="Q698" s="1"/>
    </row>
    <row r="699" spans="16:17">
      <c r="P699" s="1"/>
      <c r="Q699" s="1"/>
    </row>
    <row r="700" spans="16:17">
      <c r="P700" s="1"/>
      <c r="Q700" s="1"/>
    </row>
    <row r="701" spans="16:17">
      <c r="P701" s="1"/>
      <c r="Q701" s="1"/>
    </row>
    <row r="702" spans="16:17">
      <c r="P702" s="1"/>
      <c r="Q702" s="1"/>
    </row>
    <row r="703" spans="16:17">
      <c r="P703" s="1"/>
      <c r="Q703" s="1"/>
    </row>
    <row r="704" spans="16:17">
      <c r="P704" s="1"/>
      <c r="Q704" s="1"/>
    </row>
    <row r="705" spans="16:17">
      <c r="P705" s="1"/>
      <c r="Q705" s="1"/>
    </row>
    <row r="706" spans="16:17">
      <c r="P706" s="1"/>
      <c r="Q706" s="1"/>
    </row>
    <row r="707" spans="16:17">
      <c r="P707" s="1"/>
      <c r="Q707" s="1"/>
    </row>
    <row r="708" spans="16:17">
      <c r="P708" s="1"/>
      <c r="Q708" s="1"/>
    </row>
    <row r="709" spans="16:17">
      <c r="P709" s="1"/>
      <c r="Q709" s="1"/>
    </row>
    <row r="710" spans="16:17">
      <c r="P710" s="1"/>
      <c r="Q710" s="1"/>
    </row>
    <row r="711" spans="16:17">
      <c r="P711" s="1"/>
      <c r="Q711" s="1"/>
    </row>
    <row r="712" spans="16:17">
      <c r="P712" s="1"/>
      <c r="Q712" s="1"/>
    </row>
    <row r="713" spans="16:17">
      <c r="P713" s="1"/>
      <c r="Q713" s="1"/>
    </row>
    <row r="714" spans="16:17">
      <c r="P714" s="1"/>
      <c r="Q714" s="1"/>
    </row>
    <row r="715" spans="16:17">
      <c r="P715" s="1"/>
      <c r="Q715" s="1"/>
    </row>
    <row r="716" spans="16:17">
      <c r="P716" s="1"/>
      <c r="Q716" s="1"/>
    </row>
    <row r="717" spans="16:17">
      <c r="P717" s="1"/>
      <c r="Q717" s="1"/>
    </row>
    <row r="718" spans="16:17">
      <c r="P718" s="1"/>
      <c r="Q718" s="1"/>
    </row>
    <row r="719" spans="16:17">
      <c r="P719" s="1"/>
      <c r="Q719" s="1"/>
    </row>
    <row r="720" spans="16:17">
      <c r="P720" s="1"/>
      <c r="Q720" s="1"/>
    </row>
    <row r="721" spans="16:17">
      <c r="P721" s="1"/>
      <c r="Q721" s="1"/>
    </row>
    <row r="722" spans="16:17">
      <c r="P722" s="1"/>
      <c r="Q722" s="1"/>
    </row>
    <row r="723" spans="16:17">
      <c r="P723" s="1"/>
      <c r="Q723" s="1"/>
    </row>
    <row r="724" spans="16:17">
      <c r="P724" s="1"/>
      <c r="Q724" s="1"/>
    </row>
    <row r="725" spans="16:17">
      <c r="P725" s="1"/>
      <c r="Q725" s="1"/>
    </row>
    <row r="726" spans="16:17">
      <c r="P726" s="1"/>
      <c r="Q726" s="1"/>
    </row>
    <row r="727" spans="16:17">
      <c r="P727" s="1"/>
      <c r="Q727" s="1"/>
    </row>
    <row r="728" spans="16:17">
      <c r="P728" s="1"/>
      <c r="Q728" s="1"/>
    </row>
    <row r="729" spans="16:17">
      <c r="P729" s="1"/>
      <c r="Q729" s="1"/>
    </row>
    <row r="730" spans="16:17">
      <c r="P730" s="1"/>
      <c r="Q730" s="1"/>
    </row>
    <row r="731" spans="16:17">
      <c r="P731" s="1"/>
      <c r="Q731" s="1"/>
    </row>
    <row r="732" spans="16:17">
      <c r="P732" s="1"/>
      <c r="Q732" s="1"/>
    </row>
    <row r="733" spans="16:17">
      <c r="P733" s="1"/>
      <c r="Q733" s="1"/>
    </row>
    <row r="734" spans="16:17">
      <c r="P734" s="1"/>
      <c r="Q734" s="1"/>
    </row>
    <row r="735" spans="16:17">
      <c r="P735" s="1"/>
      <c r="Q735" s="1"/>
    </row>
    <row r="736" spans="16:17">
      <c r="P736" s="1"/>
      <c r="Q736" s="1"/>
    </row>
    <row r="737" spans="16:17">
      <c r="P737" s="1"/>
      <c r="Q737" s="1"/>
    </row>
    <row r="738" spans="16:17">
      <c r="P738" s="1"/>
      <c r="Q738" s="1"/>
    </row>
    <row r="739" spans="16:17">
      <c r="P739" s="1"/>
      <c r="Q739" s="1"/>
    </row>
    <row r="740" spans="16:17">
      <c r="P740" s="1"/>
      <c r="Q740" s="1"/>
    </row>
    <row r="741" spans="16:17">
      <c r="P741" s="1"/>
      <c r="Q741" s="1"/>
    </row>
    <row r="742" spans="16:17">
      <c r="P742" s="1"/>
      <c r="Q742" s="1"/>
    </row>
    <row r="743" spans="16:17">
      <c r="P743" s="1"/>
      <c r="Q743" s="1"/>
    </row>
    <row r="744" spans="16:17">
      <c r="P744" s="1"/>
      <c r="Q744" s="1"/>
    </row>
    <row r="745" spans="16:17">
      <c r="P745" s="1"/>
      <c r="Q745" s="1"/>
    </row>
    <row r="746" spans="16:17">
      <c r="P746" s="1"/>
      <c r="Q746" s="1"/>
    </row>
    <row r="747" spans="16:17">
      <c r="P747" s="1"/>
      <c r="Q747" s="1"/>
    </row>
    <row r="748" spans="16:17">
      <c r="P748" s="1"/>
      <c r="Q748" s="1"/>
    </row>
    <row r="749" spans="16:17">
      <c r="P749" s="1"/>
      <c r="Q749" s="1"/>
    </row>
    <row r="750" spans="16:17">
      <c r="P750" s="1"/>
      <c r="Q750" s="1"/>
    </row>
    <row r="751" spans="16:17">
      <c r="P751" s="1"/>
      <c r="Q751" s="1"/>
    </row>
    <row r="752" spans="16:17">
      <c r="P752" s="1"/>
      <c r="Q752" s="1"/>
    </row>
    <row r="753" spans="16:17">
      <c r="P753" s="1"/>
      <c r="Q753" s="1"/>
    </row>
    <row r="754" spans="16:17">
      <c r="P754" s="1"/>
      <c r="Q754" s="1"/>
    </row>
    <row r="755" spans="16:17">
      <c r="P755" s="1"/>
      <c r="Q755" s="1"/>
    </row>
    <row r="756" spans="16:17">
      <c r="P756" s="1"/>
      <c r="Q756" s="1"/>
    </row>
    <row r="757" spans="16:17">
      <c r="P757" s="1"/>
      <c r="Q757" s="1"/>
    </row>
    <row r="758" spans="16:17">
      <c r="P758" s="1"/>
      <c r="Q758" s="1"/>
    </row>
    <row r="759" spans="16:17">
      <c r="P759" s="1"/>
      <c r="Q759" s="1"/>
    </row>
    <row r="760" spans="16:17">
      <c r="P760" s="1"/>
      <c r="Q760" s="1"/>
    </row>
    <row r="761" spans="16:17">
      <c r="P761" s="1"/>
      <c r="Q761" s="1"/>
    </row>
    <row r="762" spans="16:17">
      <c r="P762" s="1"/>
      <c r="Q762" s="1"/>
    </row>
    <row r="763" spans="16:17">
      <c r="P763" s="1"/>
      <c r="Q763" s="1"/>
    </row>
    <row r="764" spans="16:17">
      <c r="P764" s="1"/>
      <c r="Q764" s="1"/>
    </row>
    <row r="765" spans="16:17">
      <c r="P765" s="1"/>
      <c r="Q765" s="1"/>
    </row>
    <row r="766" spans="16:17">
      <c r="P766" s="1"/>
      <c r="Q766" s="1"/>
    </row>
    <row r="767" spans="16:17">
      <c r="P767" s="1"/>
      <c r="Q767" s="1"/>
    </row>
    <row r="768" spans="16:17">
      <c r="P768" s="1"/>
      <c r="Q768" s="1"/>
    </row>
    <row r="769" spans="16:17">
      <c r="P769" s="1"/>
      <c r="Q769" s="1"/>
    </row>
    <row r="770" spans="16:17">
      <c r="P770" s="1"/>
      <c r="Q770" s="1"/>
    </row>
    <row r="771" spans="16:17">
      <c r="P771" s="1"/>
      <c r="Q771" s="1"/>
    </row>
    <row r="772" spans="16:17">
      <c r="P772" s="1"/>
      <c r="Q772" s="1"/>
    </row>
    <row r="773" spans="16:17">
      <c r="P773" s="1"/>
      <c r="Q773" s="1"/>
    </row>
    <row r="774" spans="16:17">
      <c r="P774" s="1"/>
      <c r="Q774" s="1"/>
    </row>
    <row r="775" spans="16:17">
      <c r="P775" s="1"/>
      <c r="Q775" s="1"/>
    </row>
    <row r="776" spans="16:17">
      <c r="P776" s="1"/>
      <c r="Q776" s="1"/>
    </row>
    <row r="777" spans="16:17">
      <c r="P777" s="1"/>
      <c r="Q777" s="1"/>
    </row>
    <row r="778" spans="16:17">
      <c r="P778" s="1"/>
      <c r="Q778" s="1"/>
    </row>
    <row r="779" spans="16:17">
      <c r="P779" s="1"/>
      <c r="Q779" s="1"/>
    </row>
    <row r="780" spans="16:17">
      <c r="P780" s="1"/>
      <c r="Q780" s="1"/>
    </row>
    <row r="781" spans="16:17">
      <c r="P781" s="1"/>
      <c r="Q781" s="1"/>
    </row>
    <row r="782" spans="16:17">
      <c r="P782" s="1"/>
      <c r="Q782" s="1"/>
    </row>
    <row r="783" spans="16:17">
      <c r="P783" s="1"/>
      <c r="Q783" s="1"/>
    </row>
    <row r="784" spans="16:17">
      <c r="P784" s="1"/>
      <c r="Q784" s="1"/>
    </row>
    <row r="785" spans="16:17">
      <c r="P785" s="1"/>
      <c r="Q785" s="1"/>
    </row>
    <row r="786" spans="16:17">
      <c r="P786" s="1"/>
      <c r="Q786" s="1"/>
    </row>
    <row r="787" spans="16:17">
      <c r="P787" s="1"/>
      <c r="Q787" s="1"/>
    </row>
    <row r="788" spans="16:17">
      <c r="P788" s="1"/>
      <c r="Q788" s="1"/>
    </row>
    <row r="789" spans="16:17">
      <c r="P789" s="1"/>
      <c r="Q789" s="1"/>
    </row>
    <row r="790" spans="16:17">
      <c r="P790" s="1"/>
      <c r="Q790" s="1"/>
    </row>
    <row r="791" spans="16:17">
      <c r="P791" s="1"/>
      <c r="Q791" s="1"/>
    </row>
    <row r="792" spans="16:17">
      <c r="P792" s="1"/>
      <c r="Q792" s="1"/>
    </row>
    <row r="793" spans="16:17">
      <c r="P793" s="1"/>
      <c r="Q793" s="1"/>
    </row>
    <row r="794" spans="16:17">
      <c r="P794" s="1"/>
      <c r="Q794" s="1"/>
    </row>
    <row r="795" spans="16:17">
      <c r="P795" s="1"/>
      <c r="Q795" s="1"/>
    </row>
    <row r="796" spans="16:17">
      <c r="P796" s="1"/>
      <c r="Q796" s="1"/>
    </row>
    <row r="797" spans="16:17">
      <c r="P797" s="1"/>
      <c r="Q797" s="1"/>
    </row>
    <row r="798" spans="16:17">
      <c r="P798" s="1"/>
      <c r="Q798" s="1"/>
    </row>
    <row r="799" spans="16:17">
      <c r="P799" s="1"/>
      <c r="Q799" s="1"/>
    </row>
    <row r="800" spans="16:17">
      <c r="P800" s="1"/>
      <c r="Q800" s="1"/>
    </row>
    <row r="801" spans="16:17">
      <c r="P801" s="1"/>
      <c r="Q801" s="1"/>
    </row>
    <row r="802" spans="16:17">
      <c r="P802" s="1"/>
      <c r="Q802" s="1"/>
    </row>
    <row r="803" spans="16:17">
      <c r="P803" s="1"/>
      <c r="Q803" s="1"/>
    </row>
    <row r="804" spans="16:17">
      <c r="P804" s="1"/>
      <c r="Q804" s="1"/>
    </row>
    <row r="805" spans="16:17">
      <c r="P805" s="1"/>
      <c r="Q805" s="1"/>
    </row>
    <row r="806" spans="16:17">
      <c r="P806" s="1"/>
      <c r="Q806" s="1"/>
    </row>
    <row r="807" spans="16:17">
      <c r="P807" s="1"/>
      <c r="Q807" s="1"/>
    </row>
    <row r="808" spans="16:17">
      <c r="P808" s="1"/>
      <c r="Q808" s="1"/>
    </row>
    <row r="809" spans="16:17">
      <c r="P809" s="1"/>
      <c r="Q809" s="1"/>
    </row>
    <row r="810" spans="16:17">
      <c r="P810" s="1"/>
      <c r="Q810" s="1"/>
    </row>
    <row r="811" spans="16:17">
      <c r="P811" s="1"/>
      <c r="Q811" s="1"/>
    </row>
    <row r="812" spans="16:17">
      <c r="P812" s="1"/>
      <c r="Q812" s="1"/>
    </row>
    <row r="813" spans="16:17">
      <c r="P813" s="1"/>
      <c r="Q813" s="1"/>
    </row>
    <row r="814" spans="16:17">
      <c r="P814" s="1"/>
      <c r="Q814" s="1"/>
    </row>
    <row r="815" spans="16:17">
      <c r="P815" s="1"/>
      <c r="Q815" s="1"/>
    </row>
    <row r="816" spans="16:17">
      <c r="P816" s="1"/>
      <c r="Q816" s="1"/>
    </row>
    <row r="817" spans="16:17">
      <c r="P817" s="1"/>
      <c r="Q817" s="1"/>
    </row>
    <row r="818" spans="16:17">
      <c r="P818" s="1"/>
      <c r="Q818" s="1"/>
    </row>
    <row r="819" spans="16:17">
      <c r="P819" s="1"/>
      <c r="Q819" s="1"/>
    </row>
    <row r="820" spans="16:17">
      <c r="P820" s="1"/>
      <c r="Q820" s="1"/>
    </row>
    <row r="821" spans="16:17">
      <c r="P821" s="1"/>
      <c r="Q821" s="1"/>
    </row>
    <row r="822" spans="16:17">
      <c r="P822" s="1"/>
      <c r="Q822" s="1"/>
    </row>
    <row r="823" spans="16:17">
      <c r="P823" s="1"/>
      <c r="Q823" s="1"/>
    </row>
    <row r="824" spans="16:17">
      <c r="P824" s="1"/>
      <c r="Q824" s="1"/>
    </row>
    <row r="825" spans="16:17">
      <c r="P825" s="1"/>
      <c r="Q825" s="1"/>
    </row>
    <row r="826" spans="16:17">
      <c r="P826" s="1"/>
      <c r="Q826" s="1"/>
    </row>
    <row r="827" spans="16:17">
      <c r="P827" s="1"/>
      <c r="Q827" s="1"/>
    </row>
    <row r="828" spans="16:17">
      <c r="P828" s="1"/>
      <c r="Q828" s="1"/>
    </row>
    <row r="829" spans="16:17">
      <c r="P829" s="1"/>
      <c r="Q829" s="1"/>
    </row>
    <row r="830" spans="16:17">
      <c r="P830" s="1"/>
      <c r="Q830" s="1"/>
    </row>
    <row r="831" spans="16:17">
      <c r="P831" s="1"/>
      <c r="Q831" s="1"/>
    </row>
    <row r="832" spans="16:17">
      <c r="P832" s="1"/>
      <c r="Q832" s="1"/>
    </row>
    <row r="833" spans="16:17">
      <c r="P833" s="1"/>
      <c r="Q833" s="1"/>
    </row>
    <row r="834" spans="16:17">
      <c r="P834" s="1"/>
      <c r="Q834" s="1"/>
    </row>
    <row r="835" spans="16:17">
      <c r="P835" s="1"/>
      <c r="Q835" s="1"/>
    </row>
    <row r="836" spans="16:17">
      <c r="P836" s="1"/>
      <c r="Q836" s="1"/>
    </row>
    <row r="837" spans="16:17">
      <c r="P837" s="1"/>
      <c r="Q837" s="1"/>
    </row>
    <row r="838" spans="16:17">
      <c r="P838" s="1"/>
      <c r="Q838" s="1"/>
    </row>
    <row r="839" spans="16:17">
      <c r="P839" s="1"/>
      <c r="Q839" s="1"/>
    </row>
    <row r="840" spans="16:17">
      <c r="P840" s="1"/>
      <c r="Q840" s="1"/>
    </row>
    <row r="841" spans="16:17">
      <c r="P841" s="1"/>
      <c r="Q841" s="1"/>
    </row>
    <row r="842" spans="16:17">
      <c r="P842" s="1"/>
      <c r="Q842" s="1"/>
    </row>
    <row r="843" spans="16:17">
      <c r="P843" s="1"/>
      <c r="Q843" s="1"/>
    </row>
    <row r="844" spans="16:17">
      <c r="P844" s="1"/>
      <c r="Q844" s="1"/>
    </row>
    <row r="845" spans="16:17">
      <c r="P845" s="1"/>
      <c r="Q845" s="1"/>
    </row>
    <row r="846" spans="16:17">
      <c r="P846" s="1"/>
      <c r="Q846" s="1"/>
    </row>
    <row r="847" spans="16:17">
      <c r="P847" s="1"/>
      <c r="Q847" s="1"/>
    </row>
    <row r="848" spans="16:17">
      <c r="P848" s="1"/>
      <c r="Q848" s="1"/>
    </row>
    <row r="849" spans="16:17">
      <c r="P849" s="1"/>
      <c r="Q849" s="1"/>
    </row>
    <row r="850" spans="16:17">
      <c r="P850" s="1"/>
      <c r="Q850" s="1"/>
    </row>
    <row r="851" spans="16:17">
      <c r="P851" s="1"/>
      <c r="Q851" s="1"/>
    </row>
    <row r="852" spans="16:17">
      <c r="P852" s="1"/>
      <c r="Q852" s="1"/>
    </row>
    <row r="853" spans="16:17">
      <c r="P853" s="1"/>
      <c r="Q853" s="1"/>
    </row>
    <row r="854" spans="16:17">
      <c r="P854" s="1"/>
      <c r="Q854" s="1"/>
    </row>
    <row r="855" spans="16:17">
      <c r="P855" s="1"/>
      <c r="Q855" s="1"/>
    </row>
    <row r="856" spans="16:17">
      <c r="P856" s="1"/>
      <c r="Q856" s="1"/>
    </row>
    <row r="857" spans="16:17">
      <c r="P857" s="1"/>
      <c r="Q857" s="1"/>
    </row>
    <row r="858" spans="16:17">
      <c r="P858" s="1"/>
      <c r="Q858" s="1"/>
    </row>
    <row r="859" spans="16:17">
      <c r="P859" s="1"/>
      <c r="Q859" s="1"/>
    </row>
    <row r="860" spans="16:17">
      <c r="P860" s="1"/>
      <c r="Q860" s="1"/>
    </row>
    <row r="861" spans="16:17">
      <c r="P861" s="1"/>
      <c r="Q861" s="1"/>
    </row>
    <row r="862" spans="16:17">
      <c r="P862" s="1"/>
      <c r="Q862" s="1"/>
    </row>
    <row r="863" spans="16:17">
      <c r="P863" s="1"/>
      <c r="Q863" s="1"/>
    </row>
    <row r="864" spans="16:17">
      <c r="P864" s="1"/>
      <c r="Q864" s="1"/>
    </row>
    <row r="865" spans="16:17">
      <c r="P865" s="1"/>
      <c r="Q865" s="1"/>
    </row>
    <row r="866" spans="16:17">
      <c r="P866" s="1"/>
      <c r="Q866" s="1"/>
    </row>
    <row r="867" spans="16:17">
      <c r="P867" s="1"/>
      <c r="Q867" s="1"/>
    </row>
    <row r="868" spans="16:17">
      <c r="P868" s="1"/>
      <c r="Q868" s="1"/>
    </row>
    <row r="869" spans="16:17">
      <c r="P869" s="1"/>
      <c r="Q869" s="1"/>
    </row>
    <row r="870" spans="16:17">
      <c r="P870" s="1"/>
      <c r="Q870" s="1"/>
    </row>
    <row r="871" spans="16:17">
      <c r="P871" s="1"/>
      <c r="Q871" s="1"/>
    </row>
    <row r="872" spans="16:17">
      <c r="P872" s="1"/>
      <c r="Q872" s="1"/>
    </row>
    <row r="873" spans="16:17">
      <c r="P873" s="1"/>
      <c r="Q873" s="1"/>
    </row>
    <row r="874" spans="16:17">
      <c r="P874" s="1"/>
      <c r="Q874" s="1"/>
    </row>
    <row r="875" spans="16:17">
      <c r="P875" s="1"/>
      <c r="Q875" s="1"/>
    </row>
    <row r="876" spans="16:17">
      <c r="P876" s="1"/>
      <c r="Q876" s="1"/>
    </row>
    <row r="877" spans="16:17">
      <c r="P877" s="1"/>
      <c r="Q877" s="1"/>
    </row>
    <row r="878" spans="16:17">
      <c r="P878" s="1"/>
      <c r="Q878" s="1"/>
    </row>
    <row r="879" spans="16:17">
      <c r="P879" s="1"/>
      <c r="Q879" s="1"/>
    </row>
    <row r="880" spans="16:17">
      <c r="P880" s="1"/>
      <c r="Q880" s="1"/>
    </row>
    <row r="881" spans="16:17">
      <c r="P881" s="1"/>
      <c r="Q881" s="1"/>
    </row>
    <row r="882" spans="16:17">
      <c r="P882" s="1"/>
      <c r="Q882" s="1"/>
    </row>
    <row r="883" spans="16:17">
      <c r="P883" s="1"/>
      <c r="Q883" s="1"/>
    </row>
    <row r="884" spans="16:17">
      <c r="P884" s="1"/>
      <c r="Q884" s="1"/>
    </row>
    <row r="885" spans="16:17">
      <c r="P885" s="1"/>
      <c r="Q885" s="1"/>
    </row>
    <row r="886" spans="16:17">
      <c r="P886" s="1"/>
      <c r="Q886" s="1"/>
    </row>
    <row r="887" spans="16:17">
      <c r="P887" s="1"/>
      <c r="Q887" s="1"/>
    </row>
    <row r="888" spans="16:17">
      <c r="P888" s="1"/>
      <c r="Q888" s="1"/>
    </row>
    <row r="889" spans="16:17">
      <c r="P889" s="1"/>
      <c r="Q889" s="1"/>
    </row>
    <row r="890" spans="16:17">
      <c r="P890" s="1"/>
      <c r="Q890" s="1"/>
    </row>
    <row r="891" spans="16:17">
      <c r="P891" s="1"/>
      <c r="Q891" s="1"/>
    </row>
    <row r="892" spans="16:17">
      <c r="P892" s="1"/>
      <c r="Q892" s="1"/>
    </row>
    <row r="893" spans="16:17">
      <c r="P893" s="1"/>
      <c r="Q893" s="1"/>
    </row>
    <row r="894" spans="16:17">
      <c r="P894" s="1"/>
      <c r="Q894" s="1"/>
    </row>
    <row r="895" spans="16:17">
      <c r="P895" s="1"/>
      <c r="Q895" s="1"/>
    </row>
    <row r="896" spans="16:17">
      <c r="P896" s="1"/>
      <c r="Q896" s="1"/>
    </row>
    <row r="897" spans="16:17">
      <c r="P897" s="1"/>
      <c r="Q897" s="1"/>
    </row>
    <row r="898" spans="16:17">
      <c r="P898" s="1"/>
      <c r="Q898" s="1"/>
    </row>
    <row r="899" spans="16:17">
      <c r="P899" s="1"/>
      <c r="Q899" s="1"/>
    </row>
    <row r="900" spans="16:17">
      <c r="P900" s="1"/>
      <c r="Q900" s="1"/>
    </row>
    <row r="901" spans="16:17">
      <c r="P901" s="1"/>
      <c r="Q901" s="1"/>
    </row>
    <row r="902" spans="16:17">
      <c r="P902" s="1"/>
      <c r="Q902" s="1"/>
    </row>
    <row r="903" spans="16:17">
      <c r="P903" s="1"/>
      <c r="Q903" s="1"/>
    </row>
    <row r="904" spans="16:17">
      <c r="P904" s="1"/>
      <c r="Q904" s="1"/>
    </row>
    <row r="905" spans="16:17">
      <c r="P905" s="1"/>
      <c r="Q905" s="1"/>
    </row>
    <row r="906" spans="16:17">
      <c r="P906" s="1"/>
      <c r="Q906" s="1"/>
    </row>
    <row r="907" spans="16:17">
      <c r="P907" s="1"/>
      <c r="Q907" s="1"/>
    </row>
    <row r="908" spans="16:17">
      <c r="P908" s="1"/>
      <c r="Q908" s="1"/>
    </row>
    <row r="909" spans="16:17">
      <c r="P909" s="1"/>
      <c r="Q909" s="1"/>
    </row>
    <row r="910" spans="16:17">
      <c r="P910" s="1"/>
      <c r="Q910" s="1"/>
    </row>
    <row r="911" spans="16:17">
      <c r="P911" s="1"/>
      <c r="Q911" s="1"/>
    </row>
    <row r="912" spans="16:17">
      <c r="P912" s="1"/>
      <c r="Q912" s="1"/>
    </row>
    <row r="913" spans="16:17">
      <c r="P913" s="1"/>
      <c r="Q913" s="1"/>
    </row>
    <row r="914" spans="16:17">
      <c r="P914" s="1"/>
      <c r="Q914" s="1"/>
    </row>
    <row r="915" spans="16:17">
      <c r="P915" s="1"/>
      <c r="Q915" s="1"/>
    </row>
    <row r="916" spans="16:17">
      <c r="P916" s="1"/>
      <c r="Q916" s="1"/>
    </row>
    <row r="917" spans="16:17">
      <c r="P917" s="1"/>
      <c r="Q917" s="1"/>
    </row>
    <row r="918" spans="16:17">
      <c r="P918" s="1"/>
      <c r="Q918" s="1"/>
    </row>
    <row r="919" spans="16:17">
      <c r="P919" s="1"/>
      <c r="Q919" s="1"/>
    </row>
    <row r="920" spans="16:17">
      <c r="P920" s="1"/>
      <c r="Q920" s="1"/>
    </row>
    <row r="921" spans="16:17">
      <c r="P921" s="1"/>
      <c r="Q921" s="1"/>
    </row>
    <row r="922" spans="16:17">
      <c r="P922" s="1"/>
      <c r="Q922" s="1"/>
    </row>
    <row r="923" spans="16:17">
      <c r="P923" s="1"/>
      <c r="Q923" s="1"/>
    </row>
    <row r="924" spans="16:17">
      <c r="P924" s="1"/>
      <c r="Q924" s="1"/>
    </row>
    <row r="925" spans="16:17">
      <c r="P925" s="1"/>
      <c r="Q925" s="1"/>
    </row>
    <row r="926" spans="16:17">
      <c r="P926" s="1"/>
      <c r="Q926" s="1"/>
    </row>
    <row r="927" spans="16:17">
      <c r="P927" s="1"/>
      <c r="Q927" s="1"/>
    </row>
    <row r="928" spans="16:17">
      <c r="P928" s="1"/>
      <c r="Q928" s="1"/>
    </row>
    <row r="929" spans="16:17">
      <c r="P929" s="1"/>
      <c r="Q929" s="1"/>
    </row>
    <row r="930" spans="16:17">
      <c r="P930" s="1"/>
      <c r="Q930" s="1"/>
    </row>
    <row r="931" spans="16:17">
      <c r="P931" s="1"/>
      <c r="Q931" s="1"/>
    </row>
    <row r="932" spans="16:17">
      <c r="P932" s="1"/>
      <c r="Q932" s="1"/>
    </row>
    <row r="933" spans="16:17">
      <c r="P933" s="1"/>
      <c r="Q933" s="1"/>
    </row>
    <row r="934" spans="16:17">
      <c r="P934" s="1"/>
      <c r="Q934" s="1"/>
    </row>
    <row r="935" spans="16:17">
      <c r="P935" s="1"/>
      <c r="Q935" s="1"/>
    </row>
    <row r="936" spans="16:17">
      <c r="P936" s="1"/>
      <c r="Q936" s="1"/>
    </row>
    <row r="937" spans="16:17">
      <c r="P937" s="1"/>
      <c r="Q937" s="1"/>
    </row>
    <row r="938" spans="16:17">
      <c r="P938" s="1"/>
      <c r="Q938" s="1"/>
    </row>
    <row r="939" spans="16:17">
      <c r="P939" s="1"/>
      <c r="Q939" s="1"/>
    </row>
    <row r="940" spans="16:17">
      <c r="P940" s="1"/>
      <c r="Q940" s="1"/>
    </row>
    <row r="941" spans="16:17">
      <c r="P941" s="1"/>
      <c r="Q941" s="1"/>
    </row>
    <row r="942" spans="16:17">
      <c r="P942" s="1"/>
      <c r="Q942" s="1"/>
    </row>
    <row r="943" spans="16:17">
      <c r="P943" s="1"/>
      <c r="Q943" s="1"/>
    </row>
    <row r="944" spans="16:17">
      <c r="P944" s="1"/>
      <c r="Q944" s="1"/>
    </row>
    <row r="945" spans="16:17">
      <c r="P945" s="1"/>
      <c r="Q945" s="1"/>
    </row>
    <row r="946" spans="16:17">
      <c r="P946" s="1"/>
      <c r="Q946" s="1"/>
    </row>
    <row r="947" spans="16:17">
      <c r="P947" s="1"/>
      <c r="Q947" s="1"/>
    </row>
    <row r="948" spans="16:17">
      <c r="P948" s="1"/>
      <c r="Q948" s="1"/>
    </row>
    <row r="949" spans="16:17">
      <c r="P949" s="1"/>
      <c r="Q949" s="1"/>
    </row>
    <row r="950" spans="16:17">
      <c r="P950" s="1"/>
      <c r="Q950" s="1"/>
    </row>
    <row r="951" spans="16:17">
      <c r="P951" s="1"/>
      <c r="Q951" s="1"/>
    </row>
    <row r="952" spans="16:17">
      <c r="P952" s="1"/>
      <c r="Q952" s="1"/>
    </row>
    <row r="953" spans="16:17">
      <c r="P953" s="1"/>
      <c r="Q953" s="1"/>
    </row>
    <row r="954" spans="16:17">
      <c r="P954" s="1"/>
      <c r="Q954" s="1"/>
    </row>
    <row r="955" spans="16:17">
      <c r="P955" s="1"/>
      <c r="Q955" s="1"/>
    </row>
    <row r="956" spans="16:17">
      <c r="P956" s="1"/>
      <c r="Q956" s="1"/>
    </row>
    <row r="957" spans="16:17">
      <c r="P957" s="1"/>
      <c r="Q957" s="1"/>
    </row>
    <row r="958" spans="16:17">
      <c r="P958" s="1"/>
      <c r="Q958" s="1"/>
    </row>
    <row r="959" spans="16:17">
      <c r="P959" s="1"/>
      <c r="Q959" s="1"/>
    </row>
    <row r="960" spans="16:17">
      <c r="P960" s="1"/>
      <c r="Q960" s="1"/>
    </row>
    <row r="961" spans="16:17">
      <c r="P961" s="1"/>
      <c r="Q961" s="1"/>
    </row>
    <row r="962" spans="16:17">
      <c r="P962" s="1"/>
      <c r="Q962" s="1"/>
    </row>
    <row r="963" spans="16:17">
      <c r="P963" s="1"/>
      <c r="Q963" s="1"/>
    </row>
    <row r="964" spans="16:17">
      <c r="P964" s="1"/>
      <c r="Q964" s="1"/>
    </row>
    <row r="965" spans="16:17">
      <c r="P965" s="1"/>
      <c r="Q965" s="1"/>
    </row>
    <row r="966" spans="16:17">
      <c r="P966" s="1"/>
      <c r="Q966" s="1"/>
    </row>
    <row r="967" spans="16:17">
      <c r="P967" s="1"/>
      <c r="Q967" s="1"/>
    </row>
    <row r="968" spans="16:17">
      <c r="P968" s="1"/>
      <c r="Q968" s="1"/>
    </row>
    <row r="969" spans="16:17">
      <c r="P969" s="1"/>
      <c r="Q969" s="1"/>
    </row>
    <row r="970" spans="16:17">
      <c r="P970" s="1"/>
      <c r="Q970" s="1"/>
    </row>
    <row r="971" spans="16:17">
      <c r="P971" s="1"/>
      <c r="Q971" s="1"/>
    </row>
    <row r="972" spans="16:17">
      <c r="P972" s="1"/>
      <c r="Q972" s="1"/>
    </row>
    <row r="973" spans="16:17">
      <c r="P973" s="1"/>
      <c r="Q973" s="1"/>
    </row>
    <row r="974" spans="16:17">
      <c r="P974" s="1"/>
      <c r="Q974" s="1"/>
    </row>
    <row r="975" spans="16:17">
      <c r="P975" s="1"/>
      <c r="Q975" s="1"/>
    </row>
    <row r="976" spans="16:17">
      <c r="P976" s="1"/>
      <c r="Q976" s="1"/>
    </row>
    <row r="977" spans="16:17">
      <c r="P977" s="1"/>
      <c r="Q977" s="1"/>
    </row>
    <row r="978" spans="16:17">
      <c r="P978" s="1"/>
      <c r="Q978" s="1"/>
    </row>
    <row r="979" spans="16:17">
      <c r="P979" s="1"/>
      <c r="Q979" s="1"/>
    </row>
    <row r="980" spans="16:17">
      <c r="P980" s="1"/>
      <c r="Q980" s="1"/>
    </row>
    <row r="981" spans="16:17">
      <c r="P981" s="1"/>
      <c r="Q981" s="1"/>
    </row>
    <row r="982" spans="16:17">
      <c r="P982" s="1"/>
      <c r="Q982" s="1"/>
    </row>
    <row r="983" spans="16:17">
      <c r="P983" s="1"/>
      <c r="Q983" s="1"/>
    </row>
    <row r="984" spans="16:17">
      <c r="P984" s="1"/>
      <c r="Q984" s="1"/>
    </row>
    <row r="985" spans="16:17">
      <c r="P985" s="1"/>
      <c r="Q985" s="1"/>
    </row>
    <row r="986" spans="16:17">
      <c r="P986" s="1"/>
      <c r="Q986" s="1"/>
    </row>
    <row r="987" spans="16:17">
      <c r="P987" s="1"/>
      <c r="Q987" s="1"/>
    </row>
    <row r="988" spans="16:17">
      <c r="P988" s="1"/>
      <c r="Q988" s="1"/>
    </row>
    <row r="989" spans="16:17">
      <c r="P989" s="1"/>
      <c r="Q989" s="1"/>
    </row>
    <row r="990" spans="16:17">
      <c r="P990" s="1"/>
      <c r="Q990" s="1"/>
    </row>
    <row r="991" spans="16:17">
      <c r="P991" s="1"/>
      <c r="Q991" s="1"/>
    </row>
    <row r="992" spans="16:17">
      <c r="P992" s="1"/>
      <c r="Q992" s="1"/>
    </row>
    <row r="993" spans="16:17">
      <c r="P993" s="1"/>
      <c r="Q993" s="1"/>
    </row>
    <row r="994" spans="16:17">
      <c r="P994" s="1"/>
      <c r="Q994" s="1"/>
    </row>
    <row r="995" spans="16:17">
      <c r="P995" s="1"/>
      <c r="Q995" s="1"/>
    </row>
    <row r="996" spans="16:17">
      <c r="P996" s="1"/>
      <c r="Q996" s="1"/>
    </row>
    <row r="997" spans="16:17">
      <c r="P997" s="1"/>
      <c r="Q997" s="1"/>
    </row>
    <row r="998" spans="16:17">
      <c r="P998" s="1"/>
      <c r="Q998" s="1"/>
    </row>
    <row r="999" spans="16:17">
      <c r="P999" s="1"/>
      <c r="Q999" s="1"/>
    </row>
    <row r="1000" spans="16:17">
      <c r="P1000" s="1"/>
      <c r="Q1000" s="1"/>
    </row>
    <row r="1001" spans="16:17">
      <c r="P1001" s="1"/>
      <c r="Q1001" s="1"/>
    </row>
    <row r="1002" spans="16:17">
      <c r="P1002" s="1"/>
      <c r="Q1002" s="1"/>
    </row>
    <row r="1003" spans="16:17">
      <c r="P1003" s="1"/>
      <c r="Q1003" s="1"/>
    </row>
    <row r="1004" spans="16:17">
      <c r="P1004" s="1"/>
      <c r="Q1004" s="1"/>
    </row>
    <row r="1005" spans="16:17">
      <c r="P1005" s="1"/>
      <c r="Q1005" s="1"/>
    </row>
    <row r="1006" spans="16:17">
      <c r="P1006" s="1"/>
      <c r="Q1006" s="1"/>
    </row>
    <row r="1007" spans="16:17">
      <c r="P1007" s="1"/>
      <c r="Q1007" s="1"/>
    </row>
    <row r="1008" spans="16:17">
      <c r="P1008" s="1"/>
      <c r="Q1008" s="1"/>
    </row>
    <row r="1009" spans="16:17">
      <c r="P1009" s="1"/>
      <c r="Q1009" s="1"/>
    </row>
    <row r="1010" spans="16:17">
      <c r="P1010" s="1"/>
      <c r="Q1010" s="1"/>
    </row>
    <row r="1011" spans="16:17">
      <c r="P1011" s="1"/>
      <c r="Q1011" s="1"/>
    </row>
    <row r="1012" spans="16:17">
      <c r="P1012" s="1"/>
      <c r="Q1012" s="1"/>
    </row>
    <row r="1013" spans="16:17">
      <c r="P1013" s="1"/>
      <c r="Q1013" s="1"/>
    </row>
    <row r="1014" spans="16:17">
      <c r="P1014" s="1"/>
      <c r="Q1014" s="1"/>
    </row>
    <row r="1015" spans="16:17">
      <c r="P1015" s="1"/>
      <c r="Q1015" s="1"/>
    </row>
    <row r="1016" spans="16:17">
      <c r="P1016" s="1"/>
      <c r="Q1016" s="1"/>
    </row>
    <row r="1017" spans="16:17">
      <c r="P1017" s="1"/>
      <c r="Q1017" s="1"/>
    </row>
    <row r="1018" spans="16:17">
      <c r="P1018" s="1"/>
      <c r="Q1018" s="1"/>
    </row>
    <row r="1019" spans="16:17">
      <c r="P1019" s="1"/>
      <c r="Q1019" s="1"/>
    </row>
    <row r="1020" spans="16:17">
      <c r="P1020" s="1"/>
      <c r="Q1020" s="1"/>
    </row>
    <row r="1021" spans="16:17">
      <c r="P1021" s="1"/>
      <c r="Q1021" s="1"/>
    </row>
    <row r="1022" spans="16:17">
      <c r="P1022" s="1"/>
      <c r="Q1022" s="1"/>
    </row>
    <row r="1023" spans="16:17">
      <c r="P1023" s="1"/>
      <c r="Q1023" s="1"/>
    </row>
    <row r="1024" spans="16:17">
      <c r="P1024" s="1"/>
      <c r="Q1024" s="1"/>
    </row>
    <row r="1025" spans="16:17">
      <c r="P1025" s="1"/>
      <c r="Q1025" s="1"/>
    </row>
    <row r="1026" spans="16:17">
      <c r="P1026" s="1"/>
      <c r="Q1026" s="1"/>
    </row>
    <row r="1027" spans="16:17">
      <c r="P1027" s="1"/>
      <c r="Q1027" s="1"/>
    </row>
    <row r="1028" spans="16:17">
      <c r="P1028" s="1"/>
      <c r="Q1028" s="1"/>
    </row>
    <row r="1029" spans="16:17">
      <c r="P1029" s="1"/>
      <c r="Q1029" s="1"/>
    </row>
    <row r="1030" spans="16:17">
      <c r="P1030" s="1"/>
      <c r="Q1030" s="1"/>
    </row>
    <row r="1031" spans="16:17">
      <c r="P1031" s="1"/>
      <c r="Q1031" s="1"/>
    </row>
    <row r="1032" spans="16:17">
      <c r="P1032" s="1"/>
      <c r="Q1032" s="1"/>
    </row>
    <row r="1033" spans="16:17">
      <c r="P1033" s="1"/>
      <c r="Q1033" s="1"/>
    </row>
    <row r="1034" spans="16:17">
      <c r="P1034" s="1"/>
      <c r="Q1034" s="1"/>
    </row>
    <row r="1035" spans="16:17">
      <c r="P1035" s="1"/>
      <c r="Q1035" s="1"/>
    </row>
    <row r="1036" spans="16:17">
      <c r="P1036" s="1"/>
      <c r="Q1036" s="1"/>
    </row>
    <row r="1037" spans="16:17">
      <c r="P1037" s="1"/>
      <c r="Q1037" s="1"/>
    </row>
    <row r="1038" spans="16:17">
      <c r="P1038" s="1"/>
      <c r="Q1038" s="1"/>
    </row>
    <row r="1039" spans="16:17">
      <c r="P1039" s="1"/>
      <c r="Q1039" s="1"/>
    </row>
    <row r="1040" spans="16:17">
      <c r="P1040" s="1"/>
      <c r="Q1040" s="1"/>
    </row>
    <row r="1041" spans="16:17">
      <c r="P1041" s="1"/>
      <c r="Q1041" s="1"/>
    </row>
    <row r="1042" spans="16:17">
      <c r="P1042" s="1"/>
      <c r="Q1042" s="1"/>
    </row>
    <row r="1043" spans="16:17">
      <c r="P1043" s="1"/>
      <c r="Q1043" s="1"/>
    </row>
    <row r="1044" spans="16:17">
      <c r="P1044" s="1"/>
      <c r="Q1044" s="1"/>
    </row>
    <row r="1045" spans="16:17">
      <c r="P1045" s="1"/>
      <c r="Q1045" s="1"/>
    </row>
    <row r="1046" spans="16:17">
      <c r="P1046" s="1"/>
      <c r="Q1046" s="1"/>
    </row>
    <row r="1047" spans="16:17">
      <c r="P1047" s="1"/>
      <c r="Q1047" s="1"/>
    </row>
    <row r="1048" spans="16:17">
      <c r="P1048" s="1"/>
      <c r="Q1048" s="1"/>
    </row>
    <row r="1049" spans="16:17">
      <c r="P1049" s="1"/>
      <c r="Q1049" s="1"/>
    </row>
    <row r="1050" spans="16:17">
      <c r="P1050" s="1"/>
      <c r="Q1050" s="1"/>
    </row>
    <row r="1051" spans="16:17">
      <c r="P1051" s="1"/>
      <c r="Q1051" s="1"/>
    </row>
    <row r="1052" spans="16:17">
      <c r="P1052" s="1"/>
      <c r="Q1052" s="1"/>
    </row>
    <row r="1053" spans="16:17">
      <c r="P1053" s="1"/>
      <c r="Q1053" s="1"/>
    </row>
    <row r="1054" spans="16:17">
      <c r="P1054" s="1"/>
      <c r="Q1054" s="1"/>
    </row>
    <row r="1055" spans="16:17">
      <c r="P1055" s="1"/>
      <c r="Q1055" s="1"/>
    </row>
    <row r="1056" spans="16:17">
      <c r="P1056" s="1"/>
      <c r="Q1056" s="1"/>
    </row>
    <row r="1057" spans="16:17">
      <c r="P1057" s="1"/>
      <c r="Q1057" s="1"/>
    </row>
    <row r="1058" spans="16:17">
      <c r="P1058" s="1"/>
      <c r="Q1058" s="1"/>
    </row>
    <row r="1059" spans="16:17">
      <c r="P1059" s="1"/>
      <c r="Q1059" s="1"/>
    </row>
    <row r="1060" spans="16:17">
      <c r="P1060" s="1"/>
      <c r="Q1060" s="1"/>
    </row>
    <row r="1061" spans="16:17">
      <c r="P1061" s="1"/>
      <c r="Q1061" s="1"/>
    </row>
    <row r="1062" spans="16:17">
      <c r="P1062" s="1"/>
      <c r="Q1062" s="1"/>
    </row>
    <row r="1063" spans="16:17">
      <c r="P1063" s="1"/>
      <c r="Q1063" s="1"/>
    </row>
    <row r="1064" spans="16:17">
      <c r="P1064" s="1"/>
      <c r="Q1064" s="1"/>
    </row>
    <row r="1065" spans="16:17">
      <c r="P1065" s="1"/>
      <c r="Q1065" s="1"/>
    </row>
    <row r="1066" spans="16:17">
      <c r="P1066" s="1"/>
      <c r="Q1066" s="1"/>
    </row>
    <row r="1067" spans="16:17">
      <c r="P1067" s="1"/>
      <c r="Q1067" s="1"/>
    </row>
    <row r="1068" spans="16:17">
      <c r="P1068" s="1"/>
      <c r="Q1068" s="1"/>
    </row>
    <row r="1069" spans="16:17">
      <c r="P1069" s="1"/>
      <c r="Q1069" s="1"/>
    </row>
    <row r="1070" spans="16:17">
      <c r="P1070" s="1"/>
      <c r="Q1070" s="1"/>
    </row>
    <row r="1071" spans="16:17">
      <c r="P1071" s="1"/>
      <c r="Q1071" s="1"/>
    </row>
    <row r="1072" spans="16:17">
      <c r="P1072" s="1"/>
      <c r="Q1072" s="1"/>
    </row>
    <row r="1073" spans="16:17">
      <c r="P1073" s="1"/>
      <c r="Q1073" s="1"/>
    </row>
    <row r="1074" spans="16:17">
      <c r="P1074" s="1"/>
      <c r="Q1074" s="1"/>
    </row>
    <row r="1075" spans="16:17">
      <c r="P1075" s="1"/>
      <c r="Q1075" s="1"/>
    </row>
    <row r="1076" spans="16:17">
      <c r="P1076" s="1"/>
      <c r="Q1076" s="1"/>
    </row>
    <row r="1077" spans="16:17">
      <c r="P1077" s="1"/>
      <c r="Q1077" s="1"/>
    </row>
    <row r="1078" spans="16:17">
      <c r="P1078" s="1"/>
      <c r="Q1078" s="1"/>
    </row>
    <row r="1079" spans="16:17">
      <c r="P1079" s="1"/>
      <c r="Q1079" s="1"/>
    </row>
    <row r="1080" spans="16:17">
      <c r="P1080" s="1"/>
      <c r="Q1080" s="1"/>
    </row>
    <row r="1081" spans="16:17">
      <c r="P1081" s="1"/>
      <c r="Q1081" s="1"/>
    </row>
    <row r="1082" spans="16:17">
      <c r="P1082" s="1"/>
      <c r="Q1082" s="1"/>
    </row>
    <row r="1083" spans="16:17">
      <c r="P1083" s="1"/>
      <c r="Q1083" s="1"/>
    </row>
    <row r="1084" spans="16:17">
      <c r="P1084" s="1"/>
      <c r="Q1084" s="1"/>
    </row>
    <row r="1085" spans="16:17">
      <c r="P1085" s="1"/>
      <c r="Q1085" s="1"/>
    </row>
    <row r="1086" spans="16:17">
      <c r="P1086" s="1"/>
      <c r="Q1086" s="1"/>
    </row>
    <row r="1087" spans="16:17">
      <c r="P1087" s="1"/>
      <c r="Q1087" s="1"/>
    </row>
    <row r="1088" spans="16:17">
      <c r="P1088" s="1"/>
      <c r="Q1088" s="1"/>
    </row>
    <row r="1089" spans="16:17">
      <c r="P1089" s="1"/>
      <c r="Q1089" s="1"/>
    </row>
    <row r="1090" spans="16:17">
      <c r="P1090" s="1"/>
      <c r="Q1090" s="1"/>
    </row>
    <row r="1091" spans="16:17">
      <c r="P1091" s="1"/>
      <c r="Q1091" s="1"/>
    </row>
    <row r="1092" spans="16:17">
      <c r="P1092" s="1"/>
      <c r="Q1092" s="1"/>
    </row>
    <row r="1093" spans="16:17">
      <c r="P1093" s="1"/>
      <c r="Q1093" s="1"/>
    </row>
    <row r="1094" spans="16:17">
      <c r="P1094" s="1"/>
      <c r="Q1094" s="1"/>
    </row>
    <row r="1095" spans="16:17">
      <c r="P1095" s="1"/>
      <c r="Q1095" s="1"/>
    </row>
    <row r="1096" spans="16:17">
      <c r="P1096" s="1"/>
      <c r="Q1096" s="1"/>
    </row>
    <row r="1097" spans="16:17">
      <c r="P1097" s="1"/>
      <c r="Q1097" s="1"/>
    </row>
    <row r="1098" spans="16:17">
      <c r="P1098" s="1"/>
      <c r="Q1098" s="1"/>
    </row>
    <row r="1099" spans="16:17">
      <c r="P1099" s="1"/>
      <c r="Q1099" s="1"/>
    </row>
    <row r="1100" spans="16:17">
      <c r="P1100" s="1"/>
      <c r="Q1100" s="1"/>
    </row>
    <row r="1101" spans="16:17">
      <c r="P1101" s="1"/>
      <c r="Q1101" s="1"/>
    </row>
    <row r="1102" spans="16:17">
      <c r="P1102" s="1"/>
      <c r="Q1102" s="1"/>
    </row>
    <row r="1103" spans="16:17">
      <c r="P1103" s="1"/>
      <c r="Q1103" s="1"/>
    </row>
    <row r="1104" spans="16:17">
      <c r="P1104" s="1"/>
      <c r="Q1104" s="1"/>
    </row>
    <row r="1105" spans="16:17">
      <c r="P1105" s="1"/>
      <c r="Q1105" s="1"/>
    </row>
    <row r="1106" spans="16:17">
      <c r="P1106" s="1"/>
      <c r="Q1106" s="1"/>
    </row>
    <row r="1107" spans="16:17">
      <c r="P1107" s="1"/>
      <c r="Q1107" s="1"/>
    </row>
    <row r="1108" spans="16:17">
      <c r="P1108" s="1"/>
      <c r="Q1108" s="1"/>
    </row>
    <row r="1109" spans="16:17">
      <c r="P1109" s="1"/>
      <c r="Q1109" s="1"/>
    </row>
    <row r="1110" spans="16:17">
      <c r="P1110" s="1"/>
      <c r="Q1110" s="1"/>
    </row>
    <row r="1111" spans="16:17">
      <c r="P1111" s="1"/>
      <c r="Q1111" s="1"/>
    </row>
    <row r="1112" spans="16:17">
      <c r="P1112" s="1"/>
      <c r="Q1112" s="1"/>
    </row>
    <row r="1113" spans="16:17">
      <c r="P1113" s="1"/>
      <c r="Q1113" s="1"/>
    </row>
    <row r="1114" spans="16:17">
      <c r="P1114" s="1"/>
      <c r="Q1114" s="1"/>
    </row>
    <row r="1115" spans="16:17">
      <c r="P1115" s="1"/>
      <c r="Q1115" s="1"/>
    </row>
    <row r="1116" spans="16:17">
      <c r="P1116" s="1"/>
      <c r="Q1116" s="1"/>
    </row>
    <row r="1117" spans="16:17">
      <c r="P1117" s="1"/>
      <c r="Q1117" s="1"/>
    </row>
    <row r="1118" spans="16:17">
      <c r="P1118" s="1"/>
      <c r="Q1118" s="1"/>
    </row>
    <row r="1119" spans="16:17">
      <c r="P1119" s="1"/>
      <c r="Q1119" s="1"/>
    </row>
    <row r="1120" spans="16:17">
      <c r="P1120" s="1"/>
      <c r="Q1120" s="1"/>
    </row>
    <row r="1121" spans="16:17">
      <c r="P1121" s="1"/>
      <c r="Q1121" s="1"/>
    </row>
    <row r="1122" spans="16:17">
      <c r="P1122" s="1"/>
      <c r="Q1122" s="1"/>
    </row>
    <row r="1123" spans="16:17">
      <c r="P1123" s="1"/>
      <c r="Q1123" s="1"/>
    </row>
    <row r="1124" spans="16:17">
      <c r="P1124" s="1"/>
      <c r="Q1124" s="1"/>
    </row>
    <row r="1125" spans="16:17">
      <c r="P1125" s="1"/>
      <c r="Q1125" s="1"/>
    </row>
    <row r="1126" spans="16:17">
      <c r="P1126" s="1"/>
      <c r="Q1126" s="1"/>
    </row>
    <row r="1127" spans="16:17">
      <c r="P1127" s="1"/>
      <c r="Q1127" s="1"/>
    </row>
    <row r="1128" spans="16:17">
      <c r="P1128" s="1"/>
      <c r="Q1128" s="1"/>
    </row>
    <row r="1129" spans="16:17">
      <c r="P1129" s="1"/>
      <c r="Q1129" s="1"/>
    </row>
    <row r="1130" spans="16:17">
      <c r="P1130" s="1"/>
      <c r="Q1130" s="1"/>
    </row>
    <row r="1131" spans="16:17">
      <c r="P1131" s="1"/>
      <c r="Q1131" s="1"/>
    </row>
    <row r="1132" spans="16:17">
      <c r="P1132" s="1"/>
      <c r="Q1132" s="1"/>
    </row>
    <row r="1133" spans="16:17">
      <c r="P1133" s="1"/>
      <c r="Q1133" s="1"/>
    </row>
    <row r="1134" spans="16:17">
      <c r="P1134" s="1"/>
      <c r="Q1134" s="1"/>
    </row>
    <row r="1135" spans="16:17">
      <c r="P1135" s="1"/>
      <c r="Q1135" s="1"/>
    </row>
    <row r="1136" spans="16:17">
      <c r="P1136" s="1"/>
      <c r="Q1136" s="1"/>
    </row>
    <row r="1137" spans="16:17">
      <c r="P1137" s="1"/>
      <c r="Q1137" s="1"/>
    </row>
    <row r="1138" spans="16:17">
      <c r="P1138" s="1"/>
      <c r="Q1138" s="1"/>
    </row>
    <row r="1139" spans="16:17">
      <c r="P1139" s="1"/>
      <c r="Q1139" s="1"/>
    </row>
    <row r="1140" spans="16:17">
      <c r="P1140" s="1"/>
      <c r="Q1140" s="1"/>
    </row>
    <row r="1141" spans="16:17">
      <c r="P1141" s="1"/>
      <c r="Q1141" s="1"/>
    </row>
    <row r="1142" spans="16:17">
      <c r="P1142" s="1"/>
      <c r="Q1142" s="1"/>
    </row>
    <row r="1143" spans="16:17">
      <c r="P1143" s="1"/>
      <c r="Q1143" s="1"/>
    </row>
    <row r="1144" spans="16:17">
      <c r="P1144" s="1"/>
      <c r="Q1144" s="1"/>
    </row>
    <row r="1145" spans="16:17">
      <c r="P1145" s="1"/>
      <c r="Q1145" s="1"/>
    </row>
    <row r="1146" spans="16:17">
      <c r="P1146" s="1"/>
      <c r="Q1146" s="1"/>
    </row>
    <row r="1147" spans="16:17">
      <c r="P1147" s="1"/>
      <c r="Q1147" s="1"/>
    </row>
    <row r="1148" spans="16:17">
      <c r="P1148" s="1"/>
      <c r="Q1148" s="1"/>
    </row>
    <row r="1149" spans="16:17">
      <c r="P1149" s="1"/>
      <c r="Q1149" s="1"/>
    </row>
    <row r="1150" spans="16:17">
      <c r="P1150" s="1"/>
      <c r="Q1150" s="1"/>
    </row>
    <row r="1151" spans="16:17">
      <c r="P1151" s="1"/>
    </row>
    <row r="1152" spans="16:17">
      <c r="P1152" s="1"/>
    </row>
    <row r="1153" spans="16:16">
      <c r="P1153" s="1"/>
    </row>
    <row r="1154" spans="16:16">
      <c r="P1154" s="1"/>
    </row>
    <row r="1155" spans="16:16">
      <c r="P1155" s="1"/>
    </row>
    <row r="1156" spans="16:16">
      <c r="P1156" s="1"/>
    </row>
    <row r="1157" spans="16:16">
      <c r="P1157" s="1"/>
    </row>
    <row r="1158" spans="16:16">
      <c r="P1158" s="1"/>
    </row>
    <row r="1159" spans="16:16">
      <c r="P1159" s="1"/>
    </row>
    <row r="1160" spans="16:16">
      <c r="P1160" s="1"/>
    </row>
    <row r="1161" spans="16:16">
      <c r="P1161" s="1"/>
    </row>
    <row r="1162" spans="16:16">
      <c r="P1162" s="1"/>
    </row>
    <row r="1163" spans="16:16">
      <c r="P1163" s="1"/>
    </row>
    <row r="1164" spans="16:16">
      <c r="P1164" s="1"/>
    </row>
    <row r="1165" spans="16:16">
      <c r="P1165" s="1"/>
    </row>
    <row r="1166" spans="16:16">
      <c r="P1166" s="1"/>
    </row>
    <row r="1167" spans="16:16">
      <c r="P1167" s="1"/>
    </row>
    <row r="1168" spans="16:16">
      <c r="P1168" s="1"/>
    </row>
    <row r="1169" spans="16:16">
      <c r="P1169" s="1"/>
    </row>
    <row r="1170" spans="16:16">
      <c r="P1170" s="1"/>
    </row>
    <row r="1171" spans="16:16">
      <c r="P1171" s="1"/>
    </row>
    <row r="1172" spans="16:16">
      <c r="P1172" s="1"/>
    </row>
    <row r="1173" spans="16:16">
      <c r="P1173" s="1"/>
    </row>
    <row r="1174" spans="16:16">
      <c r="P1174" s="1"/>
    </row>
    <row r="1175" spans="16:16">
      <c r="P1175" s="1"/>
    </row>
    <row r="1176" spans="16:16">
      <c r="P1176" s="1"/>
    </row>
    <row r="1177" spans="16:16">
      <c r="P1177" s="1"/>
    </row>
    <row r="1178" spans="16:16">
      <c r="P1178" s="1"/>
    </row>
    <row r="1179" spans="16:16">
      <c r="P1179" s="1"/>
    </row>
    <row r="1180" spans="16:16">
      <c r="P1180" s="1"/>
    </row>
    <row r="1181" spans="16:16">
      <c r="P1181" s="1"/>
    </row>
    <row r="1182" spans="16:16">
      <c r="P1182" s="1"/>
    </row>
    <row r="1183" spans="16:16">
      <c r="P1183" s="1"/>
    </row>
    <row r="1184" spans="16:16">
      <c r="P1184" s="1"/>
    </row>
    <row r="1185" spans="16:16">
      <c r="P1185" s="1"/>
    </row>
    <row r="1186" spans="16:16">
      <c r="P1186" s="1"/>
    </row>
    <row r="1187" spans="16:16">
      <c r="P1187" s="1"/>
    </row>
    <row r="1188" spans="16:16">
      <c r="P1188" s="1"/>
    </row>
    <row r="1189" spans="16:16">
      <c r="P1189" s="1"/>
    </row>
    <row r="1190" spans="16:16">
      <c r="P1190" s="1"/>
    </row>
    <row r="1191" spans="16:16">
      <c r="P1191" s="1"/>
    </row>
    <row r="1192" spans="16:16">
      <c r="P1192" s="1"/>
    </row>
    <row r="1193" spans="16:16">
      <c r="P1193" s="1"/>
    </row>
    <row r="1194" spans="16:16">
      <c r="P1194" s="1"/>
    </row>
    <row r="1195" spans="16:16">
      <c r="P1195" s="1"/>
    </row>
    <row r="1196" spans="16:16">
      <c r="P1196" s="1"/>
    </row>
    <row r="1197" spans="16:16">
      <c r="P1197" s="1"/>
    </row>
    <row r="1198" spans="16:16">
      <c r="P1198" s="1"/>
    </row>
    <row r="1199" spans="16:16">
      <c r="P1199" s="1"/>
    </row>
    <row r="1200" spans="16:16">
      <c r="P1200" s="1"/>
    </row>
    <row r="1201" spans="16:16">
      <c r="P1201" s="1"/>
    </row>
    <row r="1202" spans="16:16">
      <c r="P1202" s="1"/>
    </row>
    <row r="1203" spans="16:16">
      <c r="P1203" s="1"/>
    </row>
    <row r="1204" spans="16:16">
      <c r="P1204" s="1"/>
    </row>
    <row r="1205" spans="16:16">
      <c r="P1205" s="1"/>
    </row>
    <row r="1206" spans="16:16">
      <c r="P1206" s="1"/>
    </row>
    <row r="1207" spans="16:16">
      <c r="P1207" s="1"/>
    </row>
    <row r="1208" spans="16:16">
      <c r="P1208" s="1"/>
    </row>
    <row r="1209" spans="16:16">
      <c r="P1209" s="1"/>
    </row>
    <row r="1210" spans="16:16">
      <c r="P1210" s="1"/>
    </row>
    <row r="1211" spans="16:16">
      <c r="P1211" s="1"/>
    </row>
    <row r="1212" spans="16:16">
      <c r="P1212" s="1"/>
    </row>
    <row r="1213" spans="16:16">
      <c r="P1213" s="1"/>
    </row>
    <row r="1214" spans="16:16">
      <c r="P1214" s="1"/>
    </row>
    <row r="1215" spans="16:16">
      <c r="P1215" s="1"/>
    </row>
    <row r="1216" spans="16:16">
      <c r="P1216" s="1"/>
    </row>
    <row r="1217" spans="16:16">
      <c r="P1217" s="1"/>
    </row>
    <row r="1218" spans="16:16">
      <c r="P1218" s="1"/>
    </row>
    <row r="1219" spans="16:16">
      <c r="P1219" s="1"/>
    </row>
    <row r="1220" spans="16:16">
      <c r="P1220" s="1"/>
    </row>
    <row r="1221" spans="16:16">
      <c r="P1221" s="1"/>
    </row>
    <row r="1222" spans="16:16">
      <c r="P1222" s="1"/>
    </row>
    <row r="1223" spans="16:16">
      <c r="P1223" s="1"/>
    </row>
    <row r="1224" spans="16:16">
      <c r="P1224" s="1"/>
    </row>
    <row r="1225" spans="16:16">
      <c r="P1225" s="1"/>
    </row>
    <row r="1226" spans="16:16">
      <c r="P1226" s="1"/>
    </row>
    <row r="1227" spans="16:16">
      <c r="P1227" s="1"/>
    </row>
    <row r="1228" spans="16:16">
      <c r="P1228" s="1"/>
    </row>
    <row r="1229" spans="16:16">
      <c r="P1229" s="1"/>
    </row>
    <row r="1230" spans="16:16">
      <c r="P1230" s="1"/>
    </row>
    <row r="1231" spans="16:16">
      <c r="P1231" s="1"/>
    </row>
    <row r="1232" spans="16:16">
      <c r="P1232" s="1"/>
    </row>
    <row r="1233" spans="16:16">
      <c r="P1233" s="1"/>
    </row>
    <row r="1234" spans="16:16">
      <c r="P1234" s="1"/>
    </row>
    <row r="1235" spans="16:16">
      <c r="P1235" s="1"/>
    </row>
    <row r="1236" spans="16:16">
      <c r="P1236" s="1"/>
    </row>
    <row r="1237" spans="16:16">
      <c r="P1237" s="1"/>
    </row>
    <row r="1238" spans="16:16">
      <c r="P1238" s="1"/>
    </row>
    <row r="1239" spans="16:16">
      <c r="P1239" s="1"/>
    </row>
    <row r="1240" spans="16:16">
      <c r="P1240" s="1"/>
    </row>
    <row r="1241" spans="16:16">
      <c r="P1241" s="1"/>
    </row>
    <row r="1242" spans="16:16">
      <c r="P1242" s="1"/>
    </row>
    <row r="1243" spans="16:16">
      <c r="P1243" s="1"/>
    </row>
    <row r="1244" spans="16:16">
      <c r="P1244" s="1"/>
    </row>
    <row r="1245" spans="16:16">
      <c r="P1245" s="1"/>
    </row>
    <row r="1246" spans="16:16">
      <c r="P1246" s="1"/>
    </row>
    <row r="1247" spans="16:16">
      <c r="P1247" s="1"/>
    </row>
    <row r="1248" spans="16:16">
      <c r="P1248" s="1"/>
    </row>
    <row r="1249" spans="16:16">
      <c r="P1249" s="1"/>
    </row>
    <row r="1250" spans="16:16">
      <c r="P1250" s="1"/>
    </row>
    <row r="1251" spans="16:16">
      <c r="P1251" s="1"/>
    </row>
    <row r="1252" spans="16:16">
      <c r="P1252" s="1"/>
    </row>
    <row r="1253" spans="16:16">
      <c r="P1253" s="1"/>
    </row>
    <row r="1254" spans="16:16">
      <c r="P1254" s="1"/>
    </row>
    <row r="1255" spans="16:16">
      <c r="P1255" s="1"/>
    </row>
    <row r="1256" spans="16:16">
      <c r="P1256" s="1"/>
    </row>
    <row r="1257" spans="16:16">
      <c r="P1257" s="1"/>
    </row>
    <row r="1258" spans="16:16">
      <c r="P1258" s="1"/>
    </row>
    <row r="1259" spans="16:16">
      <c r="P1259" s="1"/>
    </row>
    <row r="1260" spans="16:16">
      <c r="P1260" s="1"/>
    </row>
    <row r="1261" spans="16:16">
      <c r="P1261" s="1"/>
    </row>
    <row r="1262" spans="16:16">
      <c r="P1262" s="1"/>
    </row>
    <row r="1263" spans="16:16">
      <c r="P1263" s="1"/>
    </row>
    <row r="1264" spans="16:16">
      <c r="P1264" s="1"/>
    </row>
    <row r="1265" spans="16:16">
      <c r="P1265" s="1"/>
    </row>
    <row r="1266" spans="16:16">
      <c r="P1266" s="1"/>
    </row>
    <row r="1267" spans="16:16">
      <c r="P1267" s="1"/>
    </row>
    <row r="1268" spans="16:16">
      <c r="P1268" s="1"/>
    </row>
    <row r="1269" spans="16:16">
      <c r="P1269" s="1"/>
    </row>
    <row r="1270" spans="16:16">
      <c r="P1270" s="1"/>
    </row>
    <row r="1271" spans="16:16">
      <c r="P1271" s="1"/>
    </row>
    <row r="1272" spans="16:16">
      <c r="P1272" s="1"/>
    </row>
    <row r="1273" spans="16:16">
      <c r="P1273" s="1"/>
    </row>
    <row r="1274" spans="16:16">
      <c r="P1274" s="1"/>
    </row>
    <row r="1275" spans="16:16">
      <c r="P1275" s="1"/>
    </row>
    <row r="1276" spans="16:16">
      <c r="P1276" s="1"/>
    </row>
    <row r="1277" spans="16:16">
      <c r="P1277" s="1"/>
    </row>
    <row r="1278" spans="16:16">
      <c r="P1278" s="1"/>
    </row>
    <row r="1279" spans="16:16">
      <c r="P1279" s="1"/>
    </row>
    <row r="1280" spans="16:16">
      <c r="P1280" s="1"/>
    </row>
    <row r="1281" spans="16:16">
      <c r="P1281" s="1"/>
    </row>
    <row r="1282" spans="16:16">
      <c r="P1282" s="1"/>
    </row>
    <row r="1283" spans="16:16">
      <c r="P1283" s="1"/>
    </row>
    <row r="1284" spans="16:16">
      <c r="P1284" s="1"/>
    </row>
    <row r="1285" spans="16:16">
      <c r="P1285" s="1"/>
    </row>
    <row r="1286" spans="16:16">
      <c r="P1286" s="1"/>
    </row>
    <row r="1287" spans="16:16">
      <c r="P1287" s="1"/>
    </row>
    <row r="1288" spans="16:16">
      <c r="P1288" s="1"/>
    </row>
    <row r="1289" spans="16:16">
      <c r="P1289" s="1"/>
    </row>
    <row r="1290" spans="16:16">
      <c r="P1290" s="1"/>
    </row>
    <row r="1291" spans="16:16">
      <c r="P1291" s="1"/>
    </row>
    <row r="1292" spans="16:16">
      <c r="P1292" s="1"/>
    </row>
    <row r="1293" spans="16:16">
      <c r="P1293" s="1"/>
    </row>
    <row r="1294" spans="16:16">
      <c r="P1294" s="1"/>
    </row>
    <row r="1295" spans="16:16">
      <c r="P1295" s="1"/>
    </row>
    <row r="1296" spans="16:16">
      <c r="P1296" s="1"/>
    </row>
    <row r="1297" spans="16:16">
      <c r="P1297" s="1"/>
    </row>
    <row r="1298" spans="16:16">
      <c r="P1298" s="1"/>
    </row>
    <row r="1299" spans="16:16">
      <c r="P1299" s="1"/>
    </row>
    <row r="1300" spans="16:16">
      <c r="P1300" s="1"/>
    </row>
    <row r="1301" spans="16:16">
      <c r="P1301" s="1"/>
    </row>
    <row r="1302" spans="16:16">
      <c r="P1302" s="1"/>
    </row>
    <row r="1303" spans="16:16">
      <c r="P1303" s="1"/>
    </row>
    <row r="1304" spans="16:16">
      <c r="P1304" s="1"/>
    </row>
    <row r="1305" spans="16:16">
      <c r="P1305" s="1"/>
    </row>
    <row r="1306" spans="16:16">
      <c r="P1306" s="1"/>
    </row>
    <row r="1307" spans="16:16">
      <c r="P1307" s="1"/>
    </row>
    <row r="1308" spans="16:16">
      <c r="P1308" s="1"/>
    </row>
    <row r="1309" spans="16:16">
      <c r="P1309" s="1"/>
    </row>
    <row r="1310" spans="16:16">
      <c r="P1310" s="1"/>
    </row>
    <row r="1311" spans="16:16">
      <c r="P1311" s="1"/>
    </row>
    <row r="1312" spans="16:16">
      <c r="P1312" s="1"/>
    </row>
    <row r="1313" spans="16:16">
      <c r="P1313" s="1"/>
    </row>
    <row r="1314" spans="16:16">
      <c r="P1314" s="1"/>
    </row>
    <row r="1315" spans="16:16">
      <c r="P1315" s="1"/>
    </row>
    <row r="1316" spans="16:16">
      <c r="P1316" s="1"/>
    </row>
    <row r="1317" spans="16:16">
      <c r="P1317" s="1"/>
    </row>
    <row r="1318" spans="16:16">
      <c r="P1318" s="1"/>
    </row>
    <row r="1319" spans="16:16">
      <c r="P1319" s="1"/>
    </row>
    <row r="1320" spans="16:16">
      <c r="P1320" s="1"/>
    </row>
    <row r="1321" spans="16:16">
      <c r="P1321" s="1"/>
    </row>
    <row r="1322" spans="16:16">
      <c r="P1322" s="1"/>
    </row>
    <row r="1323" spans="16:16">
      <c r="P1323" s="1"/>
    </row>
    <row r="1324" spans="16:16">
      <c r="P1324" s="1"/>
    </row>
    <row r="1325" spans="16:16">
      <c r="P1325" s="1"/>
    </row>
    <row r="1326" spans="16:16">
      <c r="P1326" s="1"/>
    </row>
    <row r="1327" spans="16:16">
      <c r="P1327" s="1"/>
    </row>
    <row r="1328" spans="16:16">
      <c r="P1328" s="1"/>
    </row>
    <row r="1329" spans="16:16">
      <c r="P1329" s="1"/>
    </row>
    <row r="1330" spans="16:16">
      <c r="P1330" s="1"/>
    </row>
    <row r="1331" spans="16:16">
      <c r="P1331" s="1"/>
    </row>
    <row r="1332" spans="16:16">
      <c r="P1332" s="1"/>
    </row>
    <row r="1333" spans="16:16">
      <c r="P1333" s="1"/>
    </row>
    <row r="1334" spans="16:16">
      <c r="P1334" s="1"/>
    </row>
    <row r="1335" spans="16:16">
      <c r="P1335" s="1"/>
    </row>
    <row r="1336" spans="16:16">
      <c r="P1336" s="1"/>
    </row>
    <row r="1337" spans="16:16">
      <c r="P1337" s="1"/>
    </row>
    <row r="1338" spans="16:16">
      <c r="P1338" s="1"/>
    </row>
    <row r="1339" spans="16:16">
      <c r="P1339" s="1"/>
    </row>
    <row r="1340" spans="16:16">
      <c r="P1340" s="1"/>
    </row>
    <row r="1341" spans="16:16">
      <c r="P1341" s="1"/>
    </row>
    <row r="1342" spans="16:16">
      <c r="P1342" s="1"/>
    </row>
    <row r="1343" spans="16:16">
      <c r="P1343" s="1"/>
    </row>
    <row r="1344" spans="16:16">
      <c r="P1344" s="1"/>
    </row>
    <row r="1345" spans="16:16">
      <c r="P1345" s="1"/>
    </row>
    <row r="1346" spans="16:16">
      <c r="P1346" s="1"/>
    </row>
    <row r="1347" spans="16:16">
      <c r="P1347" s="1"/>
    </row>
    <row r="1348" spans="16:16">
      <c r="P1348" s="1"/>
    </row>
    <row r="1349" spans="16:16">
      <c r="P1349" s="1"/>
    </row>
    <row r="1350" spans="16:16">
      <c r="P1350" s="1"/>
    </row>
    <row r="1351" spans="16:16">
      <c r="P1351" s="1"/>
    </row>
    <row r="1352" spans="16:16">
      <c r="P1352" s="1"/>
    </row>
    <row r="1353" spans="16:16">
      <c r="P1353" s="1"/>
    </row>
    <row r="1354" spans="16:16">
      <c r="P1354" s="1"/>
    </row>
    <row r="1355" spans="16:16">
      <c r="P1355" s="1"/>
    </row>
    <row r="1356" spans="16:16">
      <c r="P1356" s="1"/>
    </row>
    <row r="1357" spans="16:16">
      <c r="P1357" s="1"/>
    </row>
    <row r="1358" spans="16:16">
      <c r="P1358" s="1"/>
    </row>
    <row r="1359" spans="16:16">
      <c r="P1359" s="1"/>
    </row>
    <row r="1360" spans="16:16">
      <c r="P1360" s="1"/>
    </row>
    <row r="1361" spans="16:16">
      <c r="P1361" s="1"/>
    </row>
    <row r="1362" spans="16:16">
      <c r="P1362" s="1"/>
    </row>
    <row r="1363" spans="16:16">
      <c r="P1363" s="1"/>
    </row>
    <row r="1364" spans="16:16">
      <c r="P1364" s="1"/>
    </row>
    <row r="1365" spans="16:16">
      <c r="P1365" s="1"/>
    </row>
    <row r="1366" spans="16:16">
      <c r="P1366" s="1"/>
    </row>
    <row r="1367" spans="16:16">
      <c r="P1367" s="1"/>
    </row>
    <row r="1368" spans="16:16">
      <c r="P1368" s="1"/>
    </row>
    <row r="1369" spans="16:16">
      <c r="P1369" s="1"/>
    </row>
    <row r="1370" spans="16:16">
      <c r="P1370" s="1"/>
    </row>
    <row r="1371" spans="16:16">
      <c r="P1371" s="1"/>
    </row>
    <row r="1372" spans="16:16">
      <c r="P1372" s="1"/>
    </row>
    <row r="1373" spans="16:16">
      <c r="P1373" s="1"/>
    </row>
    <row r="1374" spans="16:16">
      <c r="P1374" s="1"/>
    </row>
    <row r="1375" spans="16:16">
      <c r="P1375" s="1"/>
    </row>
    <row r="1376" spans="16:16">
      <c r="P1376" s="1"/>
    </row>
    <row r="1377" spans="16:16">
      <c r="P1377" s="1"/>
    </row>
    <row r="1378" spans="16:16">
      <c r="P1378" s="1"/>
    </row>
    <row r="1379" spans="16:16">
      <c r="P1379" s="1"/>
    </row>
    <row r="1380" spans="16:16">
      <c r="P1380" s="1"/>
    </row>
    <row r="1381" spans="16:16">
      <c r="P1381" s="1"/>
    </row>
    <row r="1382" spans="16:16">
      <c r="P1382" s="1"/>
    </row>
    <row r="1383" spans="16:16">
      <c r="P1383" s="1"/>
    </row>
    <row r="1384" spans="16:16">
      <c r="P1384" s="1"/>
    </row>
    <row r="1385" spans="16:16">
      <c r="P1385" s="1"/>
    </row>
    <row r="1386" spans="16:16">
      <c r="P1386" s="1"/>
    </row>
    <row r="1387" spans="16:16">
      <c r="P1387" s="1"/>
    </row>
    <row r="1388" spans="16:16">
      <c r="P1388" s="1"/>
    </row>
    <row r="1389" spans="16:16">
      <c r="P1389" s="1"/>
    </row>
    <row r="1390" spans="16:16">
      <c r="P1390" s="1"/>
    </row>
    <row r="1391" spans="16:16">
      <c r="P1391" s="1"/>
    </row>
    <row r="1392" spans="16:16">
      <c r="P1392" s="1"/>
    </row>
    <row r="1393" spans="16:16">
      <c r="P1393" s="1"/>
    </row>
    <row r="1394" spans="16:16">
      <c r="P1394" s="1"/>
    </row>
    <row r="1395" spans="16:16">
      <c r="P1395" s="1"/>
    </row>
    <row r="1396" spans="16:16">
      <c r="P1396" s="1"/>
    </row>
    <row r="1397" spans="16:16">
      <c r="P1397" s="1"/>
    </row>
    <row r="1398" spans="16:16">
      <c r="P1398" s="1"/>
    </row>
    <row r="1399" spans="16:16">
      <c r="P1399" s="1"/>
    </row>
    <row r="1400" spans="16:16">
      <c r="P1400" s="1"/>
    </row>
    <row r="1401" spans="16:16">
      <c r="P1401" s="1"/>
    </row>
    <row r="1402" spans="16:16">
      <c r="P1402" s="1"/>
    </row>
    <row r="1403" spans="16:16">
      <c r="P1403" s="1"/>
    </row>
    <row r="1404" spans="16:16">
      <c r="P1404" s="1"/>
    </row>
    <row r="1405" spans="16:16">
      <c r="P1405" s="1"/>
    </row>
    <row r="1406" spans="16:16">
      <c r="P1406" s="1"/>
    </row>
    <row r="1407" spans="16:16">
      <c r="P1407" s="1"/>
    </row>
    <row r="1408" spans="16:16">
      <c r="P1408" s="1"/>
    </row>
    <row r="1409" spans="16:16">
      <c r="P1409" s="1"/>
    </row>
    <row r="1410" spans="16:16">
      <c r="P1410" s="1"/>
    </row>
    <row r="1411" spans="16:16">
      <c r="P1411" s="1"/>
    </row>
    <row r="1412" spans="16:16">
      <c r="P1412" s="1"/>
    </row>
    <row r="1413" spans="16:16">
      <c r="P1413" s="1"/>
    </row>
    <row r="1414" spans="16:16">
      <c r="P1414" s="1"/>
    </row>
    <row r="1415" spans="16:16">
      <c r="P1415" s="1"/>
    </row>
    <row r="1416" spans="16:16">
      <c r="P1416" s="1"/>
    </row>
    <row r="1417" spans="16:16">
      <c r="P1417" s="1"/>
    </row>
    <row r="1418" spans="16:16">
      <c r="P1418" s="1"/>
    </row>
    <row r="1419" spans="16:16">
      <c r="P1419" s="1"/>
    </row>
    <row r="1420" spans="16:16">
      <c r="P1420" s="1"/>
    </row>
    <row r="1421" spans="16:16">
      <c r="P1421" s="1"/>
    </row>
    <row r="1422" spans="16:16">
      <c r="P1422" s="1"/>
    </row>
    <row r="1423" spans="16:16">
      <c r="P1423" s="1"/>
    </row>
    <row r="1424" spans="16:16">
      <c r="P1424" s="1"/>
    </row>
    <row r="1425" spans="16:16">
      <c r="P1425" s="1"/>
    </row>
    <row r="1426" spans="16:16">
      <c r="P1426" s="1"/>
    </row>
    <row r="1427" spans="16:16">
      <c r="P1427" s="1"/>
    </row>
    <row r="1428" spans="16:16">
      <c r="P1428" s="1"/>
    </row>
    <row r="1429" spans="16:16">
      <c r="P1429" s="1"/>
    </row>
    <row r="1430" spans="16:16">
      <c r="P1430" s="1"/>
    </row>
    <row r="1431" spans="16:16">
      <c r="P1431" s="1"/>
    </row>
    <row r="1432" spans="16:16">
      <c r="P1432" s="1"/>
    </row>
    <row r="1433" spans="16:16">
      <c r="P1433" s="1"/>
    </row>
    <row r="1434" spans="16:16">
      <c r="P1434" s="1"/>
    </row>
    <row r="1435" spans="16:16">
      <c r="P1435" s="1"/>
    </row>
    <row r="1436" spans="16:16">
      <c r="P1436" s="1"/>
    </row>
    <row r="1437" spans="16:16">
      <c r="P1437" s="1"/>
    </row>
    <row r="1438" spans="16:16">
      <c r="P1438" s="1"/>
    </row>
    <row r="1439" spans="16:16">
      <c r="P1439" s="1"/>
    </row>
    <row r="1440" spans="16:16">
      <c r="P1440" s="1"/>
    </row>
    <row r="1441" spans="16:16">
      <c r="P1441" s="1"/>
    </row>
    <row r="1442" spans="16:16">
      <c r="P1442" s="1"/>
    </row>
    <row r="1443" spans="16:16">
      <c r="P1443" s="1"/>
    </row>
    <row r="1444" spans="16:16">
      <c r="P1444" s="1"/>
    </row>
    <row r="1445" spans="16:16">
      <c r="P1445" s="1"/>
    </row>
    <row r="1446" spans="16:16">
      <c r="P1446" s="1"/>
    </row>
    <row r="1447" spans="16:16">
      <c r="P1447" s="1"/>
    </row>
    <row r="1448" spans="16:16">
      <c r="P1448" s="1"/>
    </row>
    <row r="1449" spans="16:16">
      <c r="P1449" s="1"/>
    </row>
    <row r="1450" spans="16:16">
      <c r="P1450" s="1"/>
    </row>
    <row r="1451" spans="16:16">
      <c r="P1451" s="1"/>
    </row>
    <row r="1452" spans="16:16">
      <c r="P1452" s="1"/>
    </row>
    <row r="1453" spans="16:16">
      <c r="P1453" s="1"/>
    </row>
    <row r="1454" spans="16:16">
      <c r="P1454" s="1"/>
    </row>
    <row r="1455" spans="16:16">
      <c r="P1455" s="1"/>
    </row>
    <row r="1456" spans="16:16">
      <c r="P1456" s="1"/>
    </row>
    <row r="1457" spans="16:16">
      <c r="P1457" s="1"/>
    </row>
    <row r="1458" spans="16:16">
      <c r="P1458" s="1"/>
    </row>
    <row r="1459" spans="16:16">
      <c r="P1459" s="1"/>
    </row>
    <row r="1460" spans="16:16">
      <c r="P1460" s="1"/>
    </row>
    <row r="1461" spans="16:16">
      <c r="P1461" s="1"/>
    </row>
    <row r="1462" spans="16:16">
      <c r="P1462" s="1"/>
    </row>
    <row r="1463" spans="16:16">
      <c r="P1463" s="1"/>
    </row>
    <row r="1464" spans="16:16">
      <c r="P1464" s="1"/>
    </row>
    <row r="1465" spans="16:16">
      <c r="P1465" s="1"/>
    </row>
    <row r="1466" spans="16:16">
      <c r="P1466" s="1"/>
    </row>
    <row r="1467" spans="16:16">
      <c r="P1467" s="1"/>
    </row>
    <row r="1468" spans="16:16">
      <c r="P1468" s="1"/>
    </row>
    <row r="1469" spans="16:16">
      <c r="P1469" s="1"/>
    </row>
    <row r="1470" spans="16:16">
      <c r="P1470" s="1"/>
    </row>
    <row r="1471" spans="16:16">
      <c r="P1471" s="1"/>
    </row>
    <row r="1472" spans="16:16">
      <c r="P1472" s="1"/>
    </row>
    <row r="1473" spans="16:16">
      <c r="P1473" s="1"/>
    </row>
    <row r="1474" spans="16:16">
      <c r="P1474" s="1"/>
    </row>
    <row r="1475" spans="16:16">
      <c r="P1475" s="1"/>
    </row>
    <row r="1476" spans="16:16">
      <c r="P1476" s="1"/>
    </row>
    <row r="1477" spans="16:16">
      <c r="P1477" s="1"/>
    </row>
    <row r="1478" spans="16:16">
      <c r="P1478" s="1"/>
    </row>
    <row r="1479" spans="16:16">
      <c r="P1479" s="1"/>
    </row>
    <row r="1480" spans="16:16">
      <c r="P1480" s="1"/>
    </row>
    <row r="1481" spans="16:16">
      <c r="P1481" s="1"/>
    </row>
    <row r="1482" spans="16:16">
      <c r="P1482" s="1"/>
    </row>
    <row r="1483" spans="16:16">
      <c r="P1483" s="1"/>
    </row>
    <row r="1484" spans="16:16">
      <c r="P1484" s="1"/>
    </row>
    <row r="1485" spans="16:16">
      <c r="P1485" s="1"/>
    </row>
    <row r="1486" spans="16:16">
      <c r="P1486" s="1"/>
    </row>
    <row r="1487" spans="16:16">
      <c r="P1487" s="1"/>
    </row>
    <row r="1488" spans="16:16">
      <c r="P1488" s="1"/>
    </row>
    <row r="1489" spans="16:16">
      <c r="P1489" s="1"/>
    </row>
    <row r="1490" spans="16:16">
      <c r="P1490" s="1"/>
    </row>
    <row r="1491" spans="16:16">
      <c r="P1491" s="1"/>
    </row>
    <row r="1492" spans="16:16">
      <c r="P1492" s="1"/>
    </row>
    <row r="1493" spans="16:16">
      <c r="P1493" s="1"/>
    </row>
    <row r="1494" spans="16:16">
      <c r="P1494" s="1"/>
    </row>
    <row r="1495" spans="16:16">
      <c r="P1495" s="1"/>
    </row>
    <row r="1496" spans="16:16">
      <c r="P1496" s="1"/>
    </row>
    <row r="1497" spans="16:16">
      <c r="P1497" s="1"/>
    </row>
    <row r="1498" spans="16:16">
      <c r="P1498" s="1"/>
    </row>
    <row r="1499" spans="16:16">
      <c r="P1499" s="1"/>
    </row>
    <row r="1500" spans="16:16">
      <c r="P1500" s="1"/>
    </row>
    <row r="1501" spans="16:16">
      <c r="P1501" s="1"/>
    </row>
    <row r="1502" spans="16:16">
      <c r="P1502" s="1"/>
    </row>
    <row r="1503" spans="16:16">
      <c r="P1503" s="1"/>
    </row>
    <row r="1504" spans="16:16">
      <c r="P1504" s="1"/>
    </row>
    <row r="1505" spans="16:16">
      <c r="P1505" s="1"/>
    </row>
    <row r="1506" spans="16:16">
      <c r="P1506" s="1"/>
    </row>
    <row r="1507" spans="16:16">
      <c r="P1507" s="1"/>
    </row>
    <row r="1508" spans="16:16">
      <c r="P1508" s="1"/>
    </row>
    <row r="1509" spans="16:16">
      <c r="P1509" s="1"/>
    </row>
    <row r="1510" spans="16:16">
      <c r="P1510" s="1"/>
    </row>
    <row r="1511" spans="16:16">
      <c r="P1511" s="1"/>
    </row>
    <row r="1512" spans="16:16">
      <c r="P1512" s="1"/>
    </row>
    <row r="1513" spans="16:16">
      <c r="P1513" s="1"/>
    </row>
    <row r="1514" spans="16:16">
      <c r="P1514" s="1"/>
    </row>
    <row r="1515" spans="16:16">
      <c r="P1515" s="1"/>
    </row>
    <row r="1516" spans="16:16">
      <c r="P1516" s="1"/>
    </row>
    <row r="1517" spans="16:16">
      <c r="P1517" s="1"/>
    </row>
    <row r="1518" spans="16:16">
      <c r="P1518" s="1"/>
    </row>
    <row r="1519" spans="16:16">
      <c r="P1519" s="1"/>
    </row>
    <row r="1520" spans="16:16">
      <c r="P1520" s="1"/>
    </row>
    <row r="1521" spans="16:16">
      <c r="P1521" s="1"/>
    </row>
    <row r="1522" spans="16:16">
      <c r="P1522" s="1"/>
    </row>
    <row r="1523" spans="16:16">
      <c r="P1523" s="1"/>
    </row>
    <row r="1524" spans="16:16">
      <c r="P1524" s="1"/>
    </row>
    <row r="1525" spans="16:16">
      <c r="P1525" s="1"/>
    </row>
    <row r="1526" spans="16:16">
      <c r="P1526" s="1"/>
    </row>
    <row r="1527" spans="16:16">
      <c r="P1527" s="1"/>
    </row>
    <row r="1528" spans="16:16">
      <c r="P1528" s="1"/>
    </row>
    <row r="1529" spans="16:16">
      <c r="P1529" s="1"/>
    </row>
    <row r="1530" spans="16:16">
      <c r="P1530" s="1"/>
    </row>
    <row r="1531" spans="16:16">
      <c r="P1531" s="1"/>
    </row>
    <row r="1532" spans="16:16">
      <c r="P1532" s="1"/>
    </row>
    <row r="1533" spans="16:16">
      <c r="P1533" s="1"/>
    </row>
    <row r="1534" spans="16:16">
      <c r="P1534" s="1"/>
    </row>
    <row r="1535" spans="16:16">
      <c r="P1535" s="1"/>
    </row>
    <row r="1536" spans="16:16">
      <c r="P1536" s="1"/>
    </row>
    <row r="1537" spans="16:16">
      <c r="P1537" s="1"/>
    </row>
    <row r="1538" spans="16:16">
      <c r="P1538" s="1"/>
    </row>
    <row r="1539" spans="16:16">
      <c r="P1539" s="1"/>
    </row>
    <row r="1540" spans="16:16">
      <c r="P1540" s="1"/>
    </row>
    <row r="1541" spans="16:16">
      <c r="P1541" s="1"/>
    </row>
    <row r="1542" spans="16:16">
      <c r="P1542" s="1"/>
    </row>
    <row r="1543" spans="16:16">
      <c r="P1543" s="1"/>
    </row>
    <row r="1544" spans="16:16">
      <c r="P1544" s="1"/>
    </row>
    <row r="1545" spans="16:16">
      <c r="P1545" s="1"/>
    </row>
    <row r="1546" spans="16:16">
      <c r="P1546" s="1"/>
    </row>
    <row r="1547" spans="16:16">
      <c r="P1547" s="1"/>
    </row>
    <row r="1548" spans="16:16">
      <c r="P1548" s="1"/>
    </row>
    <row r="1549" spans="16:16">
      <c r="P1549" s="1"/>
    </row>
    <row r="1550" spans="16:16">
      <c r="P1550" s="1"/>
    </row>
    <row r="1551" spans="16:16">
      <c r="P1551" s="1"/>
    </row>
    <row r="1552" spans="16:16">
      <c r="P1552" s="1"/>
    </row>
    <row r="1553" spans="16:16">
      <c r="P1553" s="1"/>
    </row>
    <row r="1554" spans="16:16">
      <c r="P1554" s="1"/>
    </row>
    <row r="1555" spans="16:16">
      <c r="P1555" s="1"/>
    </row>
    <row r="1556" spans="16:16">
      <c r="P1556" s="1"/>
    </row>
    <row r="1557" spans="16:16">
      <c r="P1557" s="1"/>
    </row>
    <row r="1558" spans="16:16">
      <c r="P1558" s="1"/>
    </row>
    <row r="1559" spans="16:16">
      <c r="P1559" s="1"/>
    </row>
    <row r="1560" spans="16:16">
      <c r="P1560" s="1"/>
    </row>
    <row r="1561" spans="16:16">
      <c r="P1561" s="1"/>
    </row>
    <row r="1562" spans="16:16">
      <c r="P1562" s="1"/>
    </row>
    <row r="1563" spans="16:16">
      <c r="P1563" s="1"/>
    </row>
    <row r="1564" spans="16:16">
      <c r="P1564" s="1"/>
    </row>
    <row r="1565" spans="16:16">
      <c r="P1565" s="1"/>
    </row>
    <row r="1566" spans="16:16">
      <c r="P1566" s="1"/>
    </row>
    <row r="1567" spans="16:16">
      <c r="P1567" s="1"/>
    </row>
    <row r="1568" spans="16:16">
      <c r="P1568" s="1"/>
    </row>
    <row r="1569" spans="16:16">
      <c r="P1569" s="1"/>
    </row>
    <row r="1570" spans="16:16">
      <c r="P1570" s="1"/>
    </row>
    <row r="1571" spans="16:16">
      <c r="P1571" s="1"/>
    </row>
    <row r="1572" spans="16:16">
      <c r="P1572" s="1"/>
    </row>
    <row r="1573" spans="16:16">
      <c r="P1573" s="1"/>
    </row>
    <row r="1574" spans="16:16">
      <c r="P1574" s="1"/>
    </row>
    <row r="1575" spans="16:16">
      <c r="P1575" s="1"/>
    </row>
    <row r="1576" spans="16:16">
      <c r="P1576" s="1"/>
    </row>
    <row r="1577" spans="16:16">
      <c r="P1577" s="1"/>
    </row>
    <row r="1578" spans="16:16">
      <c r="P1578" s="1"/>
    </row>
    <row r="1579" spans="16:16">
      <c r="P1579" s="1"/>
    </row>
    <row r="1580" spans="16:16">
      <c r="P1580" s="1"/>
    </row>
    <row r="1581" spans="16:16">
      <c r="P1581" s="1"/>
    </row>
    <row r="1582" spans="16:16">
      <c r="P1582" s="1"/>
    </row>
    <row r="1583" spans="16:16">
      <c r="P1583" s="1"/>
    </row>
    <row r="1584" spans="16:16">
      <c r="P1584" s="1"/>
    </row>
    <row r="1585" spans="16:16">
      <c r="P1585" s="1"/>
    </row>
    <row r="1586" spans="16:16">
      <c r="P1586" s="1"/>
    </row>
    <row r="1587" spans="16:16">
      <c r="P1587" s="1"/>
    </row>
    <row r="1588" spans="16:16">
      <c r="P1588" s="1"/>
    </row>
    <row r="1589" spans="16:16">
      <c r="P1589" s="1"/>
    </row>
    <row r="1590" spans="16:16">
      <c r="P1590" s="1"/>
    </row>
    <row r="1591" spans="16:16">
      <c r="P1591" s="1"/>
    </row>
    <row r="1592" spans="16:16">
      <c r="P1592" s="1"/>
    </row>
    <row r="1593" spans="16:16">
      <c r="P1593" s="1"/>
    </row>
    <row r="1594" spans="16:16">
      <c r="P1594" s="1"/>
    </row>
    <row r="1595" spans="16:16">
      <c r="P1595" s="1"/>
    </row>
    <row r="1596" spans="16:16">
      <c r="P1596" s="1"/>
    </row>
    <row r="1597" spans="16:16">
      <c r="P1597" s="1"/>
    </row>
    <row r="1598" spans="16:16">
      <c r="P1598" s="1"/>
    </row>
    <row r="1599" spans="16:16">
      <c r="P1599" s="1"/>
    </row>
    <row r="1600" spans="16:16">
      <c r="P1600" s="1"/>
    </row>
    <row r="1601" spans="16:16">
      <c r="P1601" s="1"/>
    </row>
    <row r="1602" spans="16:16">
      <c r="P1602" s="1"/>
    </row>
    <row r="1603" spans="16:16">
      <c r="P1603" s="1"/>
    </row>
    <row r="1604" spans="16:16">
      <c r="P1604" s="1"/>
    </row>
    <row r="1605" spans="16:16">
      <c r="P1605" s="1"/>
    </row>
    <row r="1606" spans="16:16">
      <c r="P1606" s="1"/>
    </row>
    <row r="1607" spans="16:16">
      <c r="P1607" s="1"/>
    </row>
    <row r="1608" spans="16:16">
      <c r="P1608" s="1"/>
    </row>
    <row r="1609" spans="16:16">
      <c r="P1609" s="1"/>
    </row>
    <row r="1610" spans="16:16">
      <c r="P1610" s="1"/>
    </row>
    <row r="1611" spans="16:16">
      <c r="P1611" s="1"/>
    </row>
    <row r="1612" spans="16:16">
      <c r="P1612" s="1"/>
    </row>
    <row r="1613" spans="16:16">
      <c r="P1613" s="1"/>
    </row>
    <row r="1614" spans="16:16">
      <c r="P1614" s="1"/>
    </row>
    <row r="1615" spans="16:16">
      <c r="P1615" s="1"/>
    </row>
    <row r="1616" spans="16:16">
      <c r="P1616" s="1"/>
    </row>
    <row r="1617" spans="16:16">
      <c r="P1617" s="1"/>
    </row>
    <row r="1618" spans="16:16">
      <c r="P1618" s="1"/>
    </row>
    <row r="1619" spans="16:16">
      <c r="P1619" s="1"/>
    </row>
    <row r="1620" spans="16:16">
      <c r="P1620" s="1"/>
    </row>
    <row r="1621" spans="16:16">
      <c r="P1621" s="1"/>
    </row>
    <row r="1622" spans="16:16">
      <c r="P1622" s="1"/>
    </row>
    <row r="1623" spans="16:16">
      <c r="P1623" s="1"/>
    </row>
    <row r="1624" spans="16:16">
      <c r="P1624" s="1"/>
    </row>
    <row r="1625" spans="16:16">
      <c r="P1625" s="1"/>
    </row>
    <row r="1626" spans="16:16">
      <c r="P1626" s="1"/>
    </row>
    <row r="1627" spans="16:16">
      <c r="P1627" s="1"/>
    </row>
    <row r="1628" spans="16:16">
      <c r="P1628" s="1"/>
    </row>
    <row r="1629" spans="16:16">
      <c r="P1629" s="1"/>
    </row>
    <row r="1630" spans="16:16">
      <c r="P1630" s="1"/>
    </row>
    <row r="1631" spans="16:16">
      <c r="P1631" s="1"/>
    </row>
    <row r="1632" spans="16:16">
      <c r="P1632" s="1"/>
    </row>
    <row r="1633" spans="16:16">
      <c r="P1633" s="1"/>
    </row>
    <row r="1634" spans="16:16">
      <c r="P1634" s="1"/>
    </row>
    <row r="1635" spans="16:16">
      <c r="P1635" s="1"/>
    </row>
    <row r="1636" spans="16:16">
      <c r="P1636" s="1"/>
    </row>
    <row r="1637" spans="16:16">
      <c r="P1637" s="1"/>
    </row>
    <row r="1638" spans="16:16">
      <c r="P1638" s="1"/>
    </row>
    <row r="1639" spans="16:16">
      <c r="P1639" s="1"/>
    </row>
    <row r="1640" spans="16:16">
      <c r="P1640" s="1"/>
    </row>
    <row r="1641" spans="16:16">
      <c r="P1641" s="1"/>
    </row>
    <row r="1642" spans="16:16">
      <c r="P1642" s="1"/>
    </row>
    <row r="1643" spans="16:16">
      <c r="P1643" s="1"/>
    </row>
    <row r="1644" spans="16:16">
      <c r="P1644" s="1"/>
    </row>
    <row r="1645" spans="16:16">
      <c r="P1645" s="1"/>
    </row>
    <row r="1646" spans="16:16">
      <c r="P1646" s="1"/>
    </row>
    <row r="1647" spans="16:16">
      <c r="P1647" s="1"/>
    </row>
    <row r="1648" spans="16:16">
      <c r="P1648" s="1"/>
    </row>
    <row r="1649" spans="16:16">
      <c r="P1649" s="1"/>
    </row>
    <row r="1650" spans="16:16">
      <c r="P1650" s="1"/>
    </row>
    <row r="1651" spans="16:16">
      <c r="P1651" s="1"/>
    </row>
    <row r="1652" spans="16:16">
      <c r="P1652" s="1"/>
    </row>
    <row r="1653" spans="16:16">
      <c r="P1653" s="1"/>
    </row>
    <row r="1654" spans="16:16">
      <c r="P1654" s="1"/>
    </row>
    <row r="1655" spans="16:16">
      <c r="P1655" s="1"/>
    </row>
    <row r="1656" spans="16:16">
      <c r="P1656" s="1"/>
    </row>
    <row r="1657" spans="16:16">
      <c r="P1657" s="1"/>
    </row>
    <row r="1658" spans="16:16">
      <c r="P1658" s="1"/>
    </row>
    <row r="1659" spans="16:16">
      <c r="P1659" s="1"/>
    </row>
    <row r="1660" spans="16:16">
      <c r="P1660" s="1"/>
    </row>
    <row r="1661" spans="16:16">
      <c r="P1661" s="1"/>
    </row>
    <row r="1662" spans="16:16">
      <c r="P1662" s="1"/>
    </row>
    <row r="1663" spans="16:16">
      <c r="P1663" s="1"/>
    </row>
    <row r="1664" spans="16:16">
      <c r="P1664" s="1"/>
    </row>
    <row r="1665" spans="16:16">
      <c r="P1665" s="1"/>
    </row>
    <row r="1666" spans="16:16">
      <c r="P1666" s="1"/>
    </row>
    <row r="1667" spans="16:16">
      <c r="P1667" s="1"/>
    </row>
    <row r="1668" spans="16:16">
      <c r="P1668" s="1"/>
    </row>
    <row r="1669" spans="16:16">
      <c r="P1669" s="1"/>
    </row>
    <row r="1670" spans="16:16">
      <c r="P1670" s="1"/>
    </row>
    <row r="1671" spans="16:16">
      <c r="P1671" s="1"/>
    </row>
    <row r="1672" spans="16:16">
      <c r="P1672" s="1"/>
    </row>
    <row r="1673" spans="16:16">
      <c r="P1673" s="1"/>
    </row>
    <row r="1674" spans="16:16">
      <c r="P1674" s="1"/>
    </row>
    <row r="1675" spans="16:16">
      <c r="P1675" s="1"/>
    </row>
    <row r="1676" spans="16:16">
      <c r="P1676" s="1"/>
    </row>
    <row r="1677" spans="16:16">
      <c r="P1677" s="1"/>
    </row>
    <row r="1678" spans="16:16">
      <c r="P1678" s="1"/>
    </row>
    <row r="1679" spans="16:16">
      <c r="P1679" s="1"/>
    </row>
    <row r="1680" spans="16:16">
      <c r="P1680" s="1"/>
    </row>
    <row r="1681" spans="16:16">
      <c r="P1681" s="1"/>
    </row>
    <row r="1682" spans="16:16">
      <c r="P1682" s="1"/>
    </row>
    <row r="1683" spans="16:16">
      <c r="P1683" s="1"/>
    </row>
    <row r="1684" spans="16:16">
      <c r="P1684" s="1"/>
    </row>
    <row r="1685" spans="16:16">
      <c r="P1685" s="1"/>
    </row>
    <row r="1686" spans="16:16">
      <c r="P1686" s="1"/>
    </row>
    <row r="1687" spans="16:16">
      <c r="P1687" s="1"/>
    </row>
    <row r="1688" spans="16:16">
      <c r="P1688" s="1"/>
    </row>
    <row r="1689" spans="16:16">
      <c r="P1689" s="1"/>
    </row>
    <row r="1690" spans="16:16">
      <c r="P1690" s="1"/>
    </row>
    <row r="1691" spans="16:16">
      <c r="P1691" s="1"/>
    </row>
    <row r="1692" spans="16:16">
      <c r="P1692" s="1"/>
    </row>
    <row r="1693" spans="16:16">
      <c r="P1693" s="1"/>
    </row>
    <row r="1694" spans="16:16">
      <c r="P1694" s="1"/>
    </row>
    <row r="1695" spans="16:16">
      <c r="P1695" s="1"/>
    </row>
    <row r="1696" spans="16:16">
      <c r="P1696" s="1"/>
    </row>
    <row r="1697" spans="16:16">
      <c r="P1697" s="1"/>
    </row>
    <row r="1698" spans="16:16">
      <c r="P1698" s="1"/>
    </row>
    <row r="1699" spans="16:16">
      <c r="P1699" s="1"/>
    </row>
    <row r="1700" spans="16:16">
      <c r="P1700" s="1"/>
    </row>
    <row r="1701" spans="16:16">
      <c r="P1701" s="1"/>
    </row>
    <row r="1702" spans="16:16">
      <c r="P1702" s="1"/>
    </row>
    <row r="1703" spans="16:16">
      <c r="P1703" s="1"/>
    </row>
    <row r="1704" spans="16:16">
      <c r="P1704" s="1"/>
    </row>
    <row r="1705" spans="16:16">
      <c r="P1705" s="1"/>
    </row>
    <row r="1706" spans="16:16">
      <c r="P1706" s="1"/>
    </row>
    <row r="1707" spans="16:16">
      <c r="P1707" s="1"/>
    </row>
    <row r="1708" spans="16:16">
      <c r="P1708" s="1"/>
    </row>
    <row r="1709" spans="16:16">
      <c r="P1709" s="1"/>
    </row>
    <row r="1710" spans="16:16">
      <c r="P1710" s="1"/>
    </row>
    <row r="1711" spans="16:16">
      <c r="P1711" s="1"/>
    </row>
    <row r="1712" spans="16:16">
      <c r="P1712" s="1"/>
    </row>
    <row r="1713" spans="16:16">
      <c r="P1713" s="1"/>
    </row>
    <row r="1714" spans="16:16">
      <c r="P1714" s="1"/>
    </row>
    <row r="1715" spans="16:16">
      <c r="P1715" s="1"/>
    </row>
    <row r="1716" spans="16:16">
      <c r="P1716" s="1"/>
    </row>
    <row r="1717" spans="16:16">
      <c r="P1717" s="1"/>
    </row>
    <row r="1718" spans="16:16">
      <c r="P1718" s="1"/>
    </row>
    <row r="1719" spans="16:16">
      <c r="P1719" s="1"/>
    </row>
    <row r="1720" spans="16:16">
      <c r="P1720" s="1"/>
    </row>
    <row r="1721" spans="16:16">
      <c r="P1721" s="1"/>
    </row>
    <row r="1722" spans="16:16">
      <c r="P1722" s="1"/>
    </row>
    <row r="1723" spans="16:16">
      <c r="P1723" s="1"/>
    </row>
    <row r="1724" spans="16:16">
      <c r="P1724" s="1"/>
    </row>
    <row r="1725" spans="16:16">
      <c r="P1725" s="1"/>
    </row>
    <row r="1726" spans="16:16">
      <c r="P1726" s="1"/>
    </row>
    <row r="1727" spans="16:16">
      <c r="P1727" s="1"/>
    </row>
    <row r="1728" spans="16:16">
      <c r="P1728" s="1"/>
    </row>
    <row r="1729" spans="16:16">
      <c r="P1729" s="1"/>
    </row>
    <row r="1730" spans="16:16">
      <c r="P1730" s="1"/>
    </row>
    <row r="1731" spans="16:16">
      <c r="P1731" s="1"/>
    </row>
    <row r="1732" spans="16:16">
      <c r="P1732" s="1"/>
    </row>
    <row r="1733" spans="16:16">
      <c r="P1733" s="1"/>
    </row>
    <row r="1734" spans="16:16">
      <c r="P1734" s="1"/>
    </row>
    <row r="1735" spans="16:16">
      <c r="P1735" s="1"/>
    </row>
    <row r="1736" spans="16:16">
      <c r="P1736" s="1"/>
    </row>
    <row r="1737" spans="16:16">
      <c r="P1737" s="1"/>
    </row>
    <row r="1738" spans="16:16">
      <c r="P1738" s="1"/>
    </row>
    <row r="1739" spans="16:16">
      <c r="P1739" s="1"/>
    </row>
    <row r="1740" spans="16:16">
      <c r="P1740" s="1"/>
    </row>
    <row r="1741" spans="16:16">
      <c r="P1741" s="1"/>
    </row>
    <row r="1742" spans="16:16">
      <c r="P1742" s="1"/>
    </row>
    <row r="1743" spans="16:16">
      <c r="P1743" s="1"/>
    </row>
    <row r="1744" spans="16:16">
      <c r="P1744" s="1"/>
    </row>
    <row r="1745" spans="16:16">
      <c r="P1745" s="1"/>
    </row>
    <row r="1746" spans="16:16">
      <c r="P1746" s="1"/>
    </row>
    <row r="1747" spans="16:16">
      <c r="P1747" s="1"/>
    </row>
    <row r="1748" spans="16:16">
      <c r="P1748" s="1"/>
    </row>
    <row r="1749" spans="16:16">
      <c r="P1749" s="1"/>
    </row>
    <row r="1750" spans="16:16">
      <c r="P1750" s="1"/>
    </row>
    <row r="1751" spans="16:16">
      <c r="P1751" s="1"/>
    </row>
    <row r="1752" spans="16:16">
      <c r="P1752" s="1"/>
    </row>
    <row r="1753" spans="16:16">
      <c r="P1753" s="1"/>
    </row>
    <row r="1754" spans="16:16">
      <c r="P1754" s="1"/>
    </row>
    <row r="1755" spans="16:16">
      <c r="P1755" s="1"/>
    </row>
    <row r="1756" spans="16:16">
      <c r="P1756" s="1"/>
    </row>
    <row r="1757" spans="16:16">
      <c r="P1757" s="1"/>
    </row>
    <row r="1758" spans="16:16">
      <c r="P1758" s="1"/>
    </row>
    <row r="1759" spans="16:16">
      <c r="P1759" s="1"/>
    </row>
    <row r="1760" spans="16:16">
      <c r="P1760" s="1"/>
    </row>
    <row r="1761" spans="16:16">
      <c r="P1761" s="1"/>
    </row>
    <row r="1762" spans="16:16">
      <c r="P1762" s="1"/>
    </row>
    <row r="1763" spans="16:16">
      <c r="P1763" s="1"/>
    </row>
    <row r="1764" spans="16:16">
      <c r="P1764" s="1"/>
    </row>
    <row r="1765" spans="16:16">
      <c r="P1765" s="1"/>
    </row>
    <row r="1766" spans="16:16">
      <c r="P1766" s="1"/>
    </row>
    <row r="1767" spans="16:16">
      <c r="P1767" s="1"/>
    </row>
    <row r="1768" spans="16:16">
      <c r="P1768" s="1"/>
    </row>
    <row r="1769" spans="16:16">
      <c r="P1769" s="1"/>
    </row>
    <row r="1770" spans="16:16">
      <c r="P1770" s="1"/>
    </row>
    <row r="1771" spans="16:16">
      <c r="P1771" s="1"/>
    </row>
    <row r="1772" spans="16:16">
      <c r="P1772" s="1"/>
    </row>
    <row r="1773" spans="16:16">
      <c r="P1773" s="1"/>
    </row>
    <row r="1774" spans="16:16">
      <c r="P1774" s="1"/>
    </row>
    <row r="1775" spans="16:16">
      <c r="P1775" s="1"/>
    </row>
    <row r="1776" spans="16:16">
      <c r="P1776" s="1"/>
    </row>
    <row r="1777" spans="16:16">
      <c r="P1777" s="1"/>
    </row>
    <row r="1778" spans="16:16">
      <c r="P1778" s="1"/>
    </row>
    <row r="1779" spans="16:16">
      <c r="P1779" s="1"/>
    </row>
    <row r="1780" spans="16:16">
      <c r="P1780" s="1"/>
    </row>
    <row r="1781" spans="16:16">
      <c r="P1781" s="1"/>
    </row>
    <row r="1782" spans="16:16">
      <c r="P1782" s="1"/>
    </row>
    <row r="1783" spans="16:16">
      <c r="P1783" s="1"/>
    </row>
    <row r="1784" spans="16:16">
      <c r="P1784" s="1"/>
    </row>
    <row r="1785" spans="16:16">
      <c r="P1785" s="1"/>
    </row>
    <row r="1786" spans="16:16">
      <c r="P1786" s="1"/>
    </row>
    <row r="1787" spans="16:16">
      <c r="P1787" s="1"/>
    </row>
    <row r="1788" spans="16:16">
      <c r="P1788" s="1"/>
    </row>
    <row r="1789" spans="16:16">
      <c r="P1789" s="1"/>
    </row>
    <row r="1790" spans="16:16">
      <c r="P1790" s="1"/>
    </row>
    <row r="1791" spans="16:16">
      <c r="P1791" s="1"/>
    </row>
    <row r="1792" spans="16:16">
      <c r="P1792" s="1"/>
    </row>
    <row r="1793" spans="16:16">
      <c r="P1793" s="1"/>
    </row>
    <row r="1794" spans="16:16">
      <c r="P1794" s="1"/>
    </row>
    <row r="1795" spans="16:16">
      <c r="P1795" s="1"/>
    </row>
    <row r="1796" spans="16:16">
      <c r="P1796" s="1"/>
    </row>
    <row r="1797" spans="16:16">
      <c r="P1797" s="1"/>
    </row>
    <row r="1798" spans="16:16">
      <c r="P1798" s="1"/>
    </row>
    <row r="1799" spans="16:16">
      <c r="P1799" s="1"/>
    </row>
    <row r="1800" spans="16:16">
      <c r="P1800" s="1"/>
    </row>
    <row r="1801" spans="16:16">
      <c r="P1801" s="1"/>
    </row>
    <row r="1802" spans="16:16">
      <c r="P1802" s="1"/>
    </row>
    <row r="1803" spans="16:16">
      <c r="P1803" s="1"/>
    </row>
    <row r="1804" spans="16:16">
      <c r="P1804" s="1"/>
    </row>
    <row r="1805" spans="16:16">
      <c r="P1805" s="1"/>
    </row>
    <row r="1806" spans="16:16">
      <c r="P1806" s="1"/>
    </row>
    <row r="1807" spans="16:16">
      <c r="P1807" s="1"/>
    </row>
    <row r="1808" spans="16:16">
      <c r="P1808" s="1"/>
    </row>
    <row r="1809" spans="16:16">
      <c r="P1809" s="1"/>
    </row>
    <row r="1810" spans="16:16">
      <c r="P1810" s="1"/>
    </row>
    <row r="1811" spans="16:16">
      <c r="P1811" s="1"/>
    </row>
    <row r="1812" spans="16:16">
      <c r="P1812" s="1"/>
    </row>
    <row r="1813" spans="16:16">
      <c r="P1813" s="1"/>
    </row>
    <row r="1814" spans="16:16">
      <c r="P1814" s="1"/>
    </row>
    <row r="1815" spans="16:16">
      <c r="P1815" s="1"/>
    </row>
    <row r="1816" spans="16:16">
      <c r="P1816" s="1"/>
    </row>
    <row r="1817" spans="16:16">
      <c r="P1817" s="1"/>
    </row>
    <row r="1818" spans="16:16">
      <c r="P1818" s="1"/>
    </row>
    <row r="1819" spans="16:16">
      <c r="P1819" s="1"/>
    </row>
    <row r="1820" spans="16:16">
      <c r="P1820" s="1"/>
    </row>
    <row r="1821" spans="16:16">
      <c r="P1821" s="1"/>
    </row>
    <row r="1822" spans="16:16">
      <c r="P1822" s="1"/>
    </row>
    <row r="1823" spans="16:16">
      <c r="P1823" s="1"/>
    </row>
    <row r="1824" spans="16:16">
      <c r="P1824" s="1"/>
    </row>
    <row r="1825" spans="16:16">
      <c r="P1825" s="1"/>
    </row>
    <row r="1826" spans="16:16">
      <c r="P1826" s="1"/>
    </row>
    <row r="1827" spans="16:16">
      <c r="P1827" s="1"/>
    </row>
    <row r="1828" spans="16:16">
      <c r="P1828" s="1"/>
    </row>
    <row r="1829" spans="16:16">
      <c r="P1829" s="1"/>
    </row>
    <row r="1830" spans="16:16">
      <c r="P1830" s="1"/>
    </row>
    <row r="1831" spans="16:16">
      <c r="P1831" s="1"/>
    </row>
    <row r="1832" spans="16:16">
      <c r="P1832" s="1"/>
    </row>
    <row r="1833" spans="16:16">
      <c r="P1833" s="1"/>
    </row>
    <row r="1834" spans="16:16">
      <c r="P1834" s="1"/>
    </row>
    <row r="1835" spans="16:16">
      <c r="P1835" s="1"/>
    </row>
    <row r="1836" spans="16:16">
      <c r="P1836" s="1"/>
    </row>
    <row r="1837" spans="16:16">
      <c r="P1837" s="1"/>
    </row>
    <row r="1838" spans="16:16">
      <c r="P1838" s="1"/>
    </row>
    <row r="1839" spans="16:16">
      <c r="P1839" s="1"/>
    </row>
    <row r="1840" spans="16:16">
      <c r="P1840" s="1"/>
    </row>
    <row r="1841" spans="16:16">
      <c r="P1841" s="1"/>
    </row>
    <row r="1842" spans="16:16">
      <c r="P1842" s="1"/>
    </row>
    <row r="1843" spans="16:16">
      <c r="P1843" s="1"/>
    </row>
    <row r="1844" spans="16:16">
      <c r="P1844" s="1"/>
    </row>
    <row r="1845" spans="16:16">
      <c r="P1845" s="1"/>
    </row>
    <row r="1846" spans="16:16">
      <c r="P1846" s="1"/>
    </row>
    <row r="1847" spans="16:16">
      <c r="P1847" s="1"/>
    </row>
    <row r="1848" spans="16:16">
      <c r="P1848" s="1"/>
    </row>
    <row r="1849" spans="16:16">
      <c r="P1849" s="1"/>
    </row>
    <row r="1850" spans="16:16">
      <c r="P1850" s="1"/>
    </row>
    <row r="1851" spans="16:16">
      <c r="P1851" s="1"/>
    </row>
    <row r="1852" spans="16:16">
      <c r="P1852" s="1"/>
    </row>
    <row r="1853" spans="16:16">
      <c r="P1853" s="1"/>
    </row>
    <row r="1854" spans="16:16">
      <c r="P1854" s="1"/>
    </row>
    <row r="1855" spans="16:16">
      <c r="P1855" s="1"/>
    </row>
    <row r="1856" spans="16:16">
      <c r="P1856" s="1"/>
    </row>
    <row r="1857" spans="16:16">
      <c r="P1857" s="1"/>
    </row>
    <row r="1858" spans="16:16">
      <c r="P1858" s="1"/>
    </row>
    <row r="1859" spans="16:16">
      <c r="P1859" s="1"/>
    </row>
    <row r="1860" spans="16:16">
      <c r="P1860" s="1"/>
    </row>
    <row r="1861" spans="16:16">
      <c r="P1861" s="1"/>
    </row>
    <row r="1862" spans="16:16">
      <c r="P1862" s="1"/>
    </row>
    <row r="1863" spans="16:16">
      <c r="P1863" s="1"/>
    </row>
    <row r="1864" spans="16:16">
      <c r="P1864" s="1"/>
    </row>
    <row r="1865" spans="16:16">
      <c r="P1865" s="1"/>
    </row>
    <row r="1866" spans="16:16">
      <c r="P1866" s="1"/>
    </row>
    <row r="1867" spans="16:16">
      <c r="P1867" s="1"/>
    </row>
    <row r="1868" spans="16:16">
      <c r="P1868" s="1"/>
    </row>
    <row r="1869" spans="16:16">
      <c r="P1869" s="1"/>
    </row>
    <row r="1870" spans="16:16">
      <c r="P1870" s="1"/>
    </row>
    <row r="1871" spans="16:16">
      <c r="P1871" s="1"/>
    </row>
    <row r="1872" spans="16:16">
      <c r="P1872" s="1"/>
    </row>
    <row r="1873" spans="16:16">
      <c r="P1873" s="1"/>
    </row>
    <row r="1874" spans="16:16">
      <c r="P1874" s="1"/>
    </row>
    <row r="1875" spans="16:16">
      <c r="P1875" s="1"/>
    </row>
    <row r="1876" spans="16:16">
      <c r="P1876" s="1"/>
    </row>
    <row r="1877" spans="16:16">
      <c r="P1877" s="1"/>
    </row>
    <row r="1878" spans="16:16">
      <c r="P1878" s="1"/>
    </row>
    <row r="1879" spans="16:16">
      <c r="P1879" s="1"/>
    </row>
    <row r="1880" spans="16:16">
      <c r="P1880" s="1"/>
    </row>
    <row r="1881" spans="16:16">
      <c r="P1881" s="1"/>
    </row>
    <row r="1882" spans="16:16">
      <c r="P1882" s="1"/>
    </row>
    <row r="1883" spans="16:16">
      <c r="P1883" s="1"/>
    </row>
    <row r="1884" spans="16:16">
      <c r="P1884" s="1"/>
    </row>
    <row r="1885" spans="16:16">
      <c r="P1885" s="1"/>
    </row>
    <row r="1886" spans="16:16">
      <c r="P1886" s="1"/>
    </row>
    <row r="1887" spans="16:16">
      <c r="P1887" s="1"/>
    </row>
    <row r="1888" spans="16:16">
      <c r="P1888" s="1"/>
    </row>
    <row r="1889" spans="16:16">
      <c r="P1889" s="1"/>
    </row>
    <row r="1890" spans="16:16">
      <c r="P1890" s="1"/>
    </row>
    <row r="1891" spans="16:16">
      <c r="P1891" s="1"/>
    </row>
    <row r="1892" spans="16:16">
      <c r="P1892" s="1"/>
    </row>
    <row r="1893" spans="16:16">
      <c r="P1893" s="1"/>
    </row>
    <row r="1894" spans="16:16">
      <c r="P1894" s="1"/>
    </row>
    <row r="1895" spans="16:16">
      <c r="P1895" s="1"/>
    </row>
    <row r="1896" spans="16:16">
      <c r="P1896" s="1"/>
    </row>
    <row r="1897" spans="16:16">
      <c r="P1897" s="1"/>
    </row>
    <row r="1898" spans="16:16">
      <c r="P1898" s="1"/>
    </row>
    <row r="1899" spans="16:16">
      <c r="P1899" s="1"/>
    </row>
    <row r="1900" spans="16:16">
      <c r="P1900" s="1"/>
    </row>
    <row r="1901" spans="16:16">
      <c r="P1901" s="1"/>
    </row>
    <row r="1902" spans="16:16">
      <c r="P1902" s="1"/>
    </row>
    <row r="1903" spans="16:16">
      <c r="P1903" s="1"/>
    </row>
    <row r="1904" spans="16:16">
      <c r="P1904" s="1"/>
    </row>
    <row r="1905" spans="16:16">
      <c r="P1905" s="1"/>
    </row>
    <row r="1906" spans="16:16">
      <c r="P1906" s="1"/>
    </row>
    <row r="1907" spans="16:16">
      <c r="P1907" s="1"/>
    </row>
    <row r="1908" spans="16:16">
      <c r="P1908" s="1"/>
    </row>
    <row r="1909" spans="16:16">
      <c r="P1909" s="1"/>
    </row>
    <row r="1910" spans="16:16">
      <c r="P1910" s="1"/>
    </row>
    <row r="1911" spans="16:16">
      <c r="P1911" s="1"/>
    </row>
    <row r="1912" spans="16:16">
      <c r="P1912" s="1"/>
    </row>
    <row r="1913" spans="16:16">
      <c r="P1913" s="1"/>
    </row>
    <row r="1914" spans="16:16">
      <c r="P1914" s="1"/>
    </row>
    <row r="1915" spans="16:16">
      <c r="P1915" s="1"/>
    </row>
    <row r="1916" spans="16:16">
      <c r="P1916" s="1"/>
    </row>
    <row r="1917" spans="16:16">
      <c r="P1917" s="1"/>
    </row>
    <row r="1918" spans="16:16">
      <c r="P1918" s="1"/>
    </row>
    <row r="1919" spans="16:16">
      <c r="P1919" s="1"/>
    </row>
    <row r="1920" spans="16:16">
      <c r="P1920" s="1"/>
    </row>
    <row r="1921" spans="16:16">
      <c r="P1921" s="1"/>
    </row>
    <row r="1922" spans="16:16">
      <c r="P1922" s="1"/>
    </row>
    <row r="1923" spans="16:16">
      <c r="P1923" s="1"/>
    </row>
    <row r="1924" spans="16:16">
      <c r="P1924" s="1"/>
    </row>
    <row r="1925" spans="16:16">
      <c r="P1925" s="1"/>
    </row>
    <row r="1926" spans="16:16">
      <c r="P1926" s="1"/>
    </row>
    <row r="1927" spans="16:16">
      <c r="P1927" s="1"/>
    </row>
    <row r="1928" spans="16:16">
      <c r="P1928" s="1"/>
    </row>
    <row r="1929" spans="16:16">
      <c r="P1929" s="1"/>
    </row>
    <row r="1930" spans="16:16">
      <c r="P1930" s="1"/>
    </row>
    <row r="1931" spans="16:16">
      <c r="P1931" s="1"/>
    </row>
    <row r="1932" spans="16:16">
      <c r="P1932" s="1"/>
    </row>
    <row r="1933" spans="16:16">
      <c r="P1933" s="1"/>
    </row>
    <row r="1934" spans="16:16">
      <c r="P1934" s="1"/>
    </row>
    <row r="1935" spans="16:16">
      <c r="P1935" s="1"/>
    </row>
    <row r="1936" spans="16:16">
      <c r="P1936" s="1"/>
    </row>
    <row r="1937" spans="16:16">
      <c r="P1937" s="1"/>
    </row>
    <row r="1938" spans="16:16">
      <c r="P1938" s="1"/>
    </row>
    <row r="1939" spans="16:16">
      <c r="P1939" s="1"/>
    </row>
    <row r="1940" spans="16:16">
      <c r="P1940" s="1"/>
    </row>
    <row r="1941" spans="16:16">
      <c r="P1941" s="1"/>
    </row>
    <row r="1942" spans="16:16">
      <c r="P1942" s="1"/>
    </row>
    <row r="1943" spans="16:16">
      <c r="P1943" s="1"/>
    </row>
    <row r="1944" spans="16:16">
      <c r="P1944" s="1"/>
    </row>
    <row r="1945" spans="16:16">
      <c r="P1945" s="1"/>
    </row>
    <row r="1946" spans="16:16">
      <c r="P1946" s="1"/>
    </row>
    <row r="1947" spans="16:16">
      <c r="P1947" s="1"/>
    </row>
    <row r="1948" spans="16:16">
      <c r="P1948" s="1"/>
    </row>
    <row r="1949" spans="16:16">
      <c r="P1949" s="1"/>
    </row>
    <row r="1950" spans="16:16">
      <c r="P1950" s="1"/>
    </row>
    <row r="1951" spans="16:16">
      <c r="P1951" s="1"/>
    </row>
    <row r="1952" spans="16:16">
      <c r="P1952" s="1"/>
    </row>
    <row r="1953" spans="16:16">
      <c r="P1953" s="1"/>
    </row>
    <row r="1954" spans="16:16">
      <c r="P1954" s="1"/>
    </row>
    <row r="1955" spans="16:16">
      <c r="P1955" s="1"/>
    </row>
    <row r="1956" spans="16:16">
      <c r="P1956" s="1"/>
    </row>
    <row r="1957" spans="16:16">
      <c r="P1957" s="1"/>
    </row>
    <row r="1958" spans="16:16">
      <c r="P1958" s="1"/>
    </row>
    <row r="1959" spans="16:16">
      <c r="P1959" s="1"/>
    </row>
    <row r="1960" spans="16:16">
      <c r="P1960" s="1"/>
    </row>
    <row r="1961" spans="16:16">
      <c r="P1961" s="1"/>
    </row>
    <row r="1962" spans="16:16">
      <c r="P1962" s="1"/>
    </row>
    <row r="1963" spans="16:16">
      <c r="P1963" s="1"/>
    </row>
    <row r="1964" spans="16:16">
      <c r="P1964" s="1"/>
    </row>
    <row r="1965" spans="16:16">
      <c r="P1965" s="1"/>
    </row>
    <row r="1966" spans="16:16">
      <c r="P1966" s="1"/>
    </row>
    <row r="1967" spans="16:16">
      <c r="P1967" s="1"/>
    </row>
    <row r="1968" spans="16:16">
      <c r="P1968" s="1"/>
    </row>
    <row r="1969" spans="16:16">
      <c r="P1969" s="1"/>
    </row>
    <row r="1970" spans="16:16">
      <c r="P1970" s="1"/>
    </row>
    <row r="1971" spans="16:16">
      <c r="P1971" s="1"/>
    </row>
    <row r="1972" spans="16:16">
      <c r="P1972" s="1"/>
    </row>
    <row r="1973" spans="16:16">
      <c r="P1973" s="1"/>
    </row>
    <row r="1974" spans="16:16">
      <c r="P1974" s="1"/>
    </row>
    <row r="1975" spans="16:16">
      <c r="P1975" s="1"/>
    </row>
    <row r="1976" spans="16:16">
      <c r="P1976" s="1"/>
    </row>
    <row r="1977" spans="16:16">
      <c r="P1977" s="1"/>
    </row>
    <row r="1978" spans="16:16">
      <c r="P1978" s="1"/>
    </row>
    <row r="1979" spans="16:16">
      <c r="P1979" s="1"/>
    </row>
    <row r="1980" spans="16:16">
      <c r="P1980" s="1"/>
    </row>
    <row r="1981" spans="16:16">
      <c r="P1981" s="1"/>
    </row>
    <row r="1982" spans="16:16">
      <c r="P1982" s="1"/>
    </row>
    <row r="1983" spans="16:16">
      <c r="P1983" s="1"/>
    </row>
    <row r="1984" spans="16:16">
      <c r="P1984" s="1"/>
    </row>
    <row r="1985" spans="16:16">
      <c r="P1985" s="1"/>
    </row>
    <row r="1986" spans="16:16">
      <c r="P1986" s="1"/>
    </row>
    <row r="1987" spans="16:16">
      <c r="P1987" s="1"/>
    </row>
    <row r="1988" spans="16:16">
      <c r="P1988" s="1"/>
    </row>
    <row r="1989" spans="16:16">
      <c r="P1989" s="1"/>
    </row>
    <row r="1990" spans="16:16">
      <c r="P1990" s="1"/>
    </row>
    <row r="1991" spans="16:16">
      <c r="P1991" s="1"/>
    </row>
    <row r="1992" spans="16:16">
      <c r="P1992" s="1"/>
    </row>
    <row r="1993" spans="16:16">
      <c r="P1993" s="1"/>
    </row>
    <row r="1994" spans="16:16">
      <c r="P1994" s="1"/>
    </row>
    <row r="1995" spans="16:16">
      <c r="P1995" s="1"/>
    </row>
    <row r="1996" spans="16:16">
      <c r="P1996" s="1"/>
    </row>
    <row r="1997" spans="16:16">
      <c r="P1997" s="1"/>
    </row>
    <row r="1998" spans="16:16">
      <c r="P1998" s="1"/>
    </row>
    <row r="1999" spans="16:16">
      <c r="P1999" s="1"/>
    </row>
    <row r="2000" spans="16:16">
      <c r="P2000" s="1"/>
    </row>
    <row r="2001" spans="16:16">
      <c r="P2001" s="1"/>
    </row>
    <row r="2002" spans="16:16">
      <c r="P2002" s="1"/>
    </row>
    <row r="2003" spans="16:16">
      <c r="P2003" s="1"/>
    </row>
    <row r="2004" spans="16:16">
      <c r="P2004" s="1"/>
    </row>
    <row r="2005" spans="16:16">
      <c r="P2005" s="1"/>
    </row>
    <row r="2006" spans="16:16">
      <c r="P2006" s="1"/>
    </row>
    <row r="2007" spans="16:16">
      <c r="P2007" s="1"/>
    </row>
    <row r="2008" spans="16:16">
      <c r="P2008" s="1"/>
    </row>
    <row r="2009" spans="16:16">
      <c r="P2009" s="1"/>
    </row>
    <row r="2010" spans="16:16">
      <c r="P2010" s="1"/>
    </row>
    <row r="2011" spans="16:16">
      <c r="P2011" s="1"/>
    </row>
    <row r="2012" spans="16:16">
      <c r="P2012" s="1"/>
    </row>
    <row r="2013" spans="16:16">
      <c r="P2013" s="1"/>
    </row>
    <row r="2014" spans="16:16">
      <c r="P2014" s="1"/>
    </row>
    <row r="2015" spans="16:16">
      <c r="P2015" s="1"/>
    </row>
    <row r="2016" spans="16:16">
      <c r="P2016" s="1"/>
    </row>
    <row r="2017" spans="16:16">
      <c r="P2017" s="1"/>
    </row>
    <row r="2018" spans="16:16">
      <c r="P2018" s="1"/>
    </row>
    <row r="2019" spans="16:16">
      <c r="P2019" s="1"/>
    </row>
    <row r="2020" spans="16:16">
      <c r="P2020" s="1"/>
    </row>
    <row r="2021" spans="16:16">
      <c r="P2021" s="1"/>
    </row>
    <row r="2022" spans="16:16">
      <c r="P2022" s="1"/>
    </row>
    <row r="2023" spans="16:16">
      <c r="P2023" s="1"/>
    </row>
    <row r="2024" spans="16:16">
      <c r="P2024" s="1"/>
    </row>
    <row r="2025" spans="16:16">
      <c r="P2025" s="1"/>
    </row>
    <row r="2026" spans="16:16">
      <c r="P2026" s="1"/>
    </row>
    <row r="2027" spans="16:16">
      <c r="P2027" s="1"/>
    </row>
    <row r="2028" spans="16:16">
      <c r="P2028" s="1"/>
    </row>
    <row r="2029" spans="16:16">
      <c r="P2029" s="1"/>
    </row>
    <row r="2030" spans="16:16">
      <c r="P2030" s="1"/>
    </row>
    <row r="2031" spans="16:16">
      <c r="P2031" s="1"/>
    </row>
    <row r="2032" spans="16:16">
      <c r="P2032" s="1"/>
    </row>
    <row r="2033" spans="16:16">
      <c r="P2033" s="1"/>
    </row>
    <row r="2034" spans="16:16">
      <c r="P2034" s="1"/>
    </row>
    <row r="2035" spans="16:16">
      <c r="P2035" s="1"/>
    </row>
    <row r="2036" spans="16:16">
      <c r="P2036" s="1"/>
    </row>
    <row r="2037" spans="16:16">
      <c r="P2037" s="1"/>
    </row>
    <row r="2038" spans="16:16">
      <c r="P2038" s="1"/>
    </row>
    <row r="2039" spans="16:16">
      <c r="P2039" s="1"/>
    </row>
    <row r="2040" spans="16:16">
      <c r="P2040" s="1"/>
    </row>
    <row r="2041" spans="16:16">
      <c r="P2041" s="1"/>
    </row>
    <row r="2042" spans="16:16">
      <c r="P2042" s="1"/>
    </row>
    <row r="2043" spans="16:16">
      <c r="P2043" s="1"/>
    </row>
    <row r="2044" spans="16:16">
      <c r="P2044" s="1"/>
    </row>
    <row r="2045" spans="16:16">
      <c r="P2045" s="1"/>
    </row>
    <row r="2046" spans="16:16">
      <c r="P2046" s="1"/>
    </row>
    <row r="2047" spans="16:16">
      <c r="P2047" s="1"/>
    </row>
    <row r="2048" spans="16:16">
      <c r="P2048" s="1"/>
    </row>
    <row r="2049" spans="16:16">
      <c r="P2049" s="1"/>
    </row>
    <row r="2050" spans="16:16">
      <c r="P2050" s="1"/>
    </row>
    <row r="2051" spans="16:16">
      <c r="P2051" s="1"/>
    </row>
    <row r="2052" spans="16:16">
      <c r="P2052" s="1"/>
    </row>
    <row r="2053" spans="16:16">
      <c r="P2053" s="1"/>
    </row>
    <row r="2054" spans="16:16">
      <c r="P2054" s="1"/>
    </row>
    <row r="2055" spans="16:16">
      <c r="P2055" s="1"/>
    </row>
    <row r="2056" spans="16:16">
      <c r="P2056" s="1"/>
    </row>
    <row r="2057" spans="16:16">
      <c r="P2057" s="1"/>
    </row>
    <row r="2058" spans="16:16">
      <c r="P2058" s="1"/>
    </row>
    <row r="2059" spans="16:16">
      <c r="P2059" s="1"/>
    </row>
    <row r="2060" spans="16:16">
      <c r="P2060" s="1"/>
    </row>
    <row r="2061" spans="16:16">
      <c r="P2061" s="1"/>
    </row>
    <row r="2062" spans="16:16">
      <c r="P2062" s="1"/>
    </row>
    <row r="2063" spans="16:16">
      <c r="P2063" s="1"/>
    </row>
    <row r="2064" spans="16:16">
      <c r="P2064" s="1"/>
    </row>
    <row r="2065" spans="16:16">
      <c r="P2065" s="1"/>
    </row>
    <row r="2066" spans="16:16">
      <c r="P2066" s="1"/>
    </row>
    <row r="2067" spans="16:16">
      <c r="P2067" s="1"/>
    </row>
    <row r="2068" spans="16:16">
      <c r="P2068" s="1"/>
    </row>
    <row r="2069" spans="16:16">
      <c r="P2069" s="1"/>
    </row>
    <row r="2070" spans="16:16">
      <c r="P2070" s="1"/>
    </row>
    <row r="2071" spans="16:16">
      <c r="P2071" s="1"/>
    </row>
    <row r="2072" spans="16:16">
      <c r="P2072" s="1"/>
    </row>
    <row r="2073" spans="16:16">
      <c r="P2073" s="1"/>
    </row>
    <row r="2074" spans="16:16">
      <c r="P2074" s="1"/>
    </row>
    <row r="2075" spans="16:16">
      <c r="P2075" s="1"/>
    </row>
    <row r="2076" spans="16:16">
      <c r="P2076" s="1"/>
    </row>
    <row r="2077" spans="16:16">
      <c r="P2077" s="1"/>
    </row>
    <row r="2078" spans="16:16">
      <c r="P2078" s="1"/>
    </row>
    <row r="2079" spans="16:16">
      <c r="P2079" s="1"/>
    </row>
    <row r="2080" spans="16:16">
      <c r="P2080" s="1"/>
    </row>
    <row r="2081" spans="16:16">
      <c r="P2081" s="1"/>
    </row>
    <row r="2082" spans="16:16">
      <c r="P2082" s="1"/>
    </row>
    <row r="2083" spans="16:16">
      <c r="P2083" s="1"/>
    </row>
    <row r="2084" spans="16:16">
      <c r="P2084" s="1"/>
    </row>
    <row r="2085" spans="16:16">
      <c r="P2085" s="1"/>
    </row>
    <row r="2086" spans="16:16">
      <c r="P2086" s="1"/>
    </row>
    <row r="2087" spans="16:16">
      <c r="P2087" s="1"/>
    </row>
    <row r="2088" spans="16:16">
      <c r="P2088" s="1"/>
    </row>
    <row r="2089" spans="16:16">
      <c r="P2089" s="1"/>
    </row>
    <row r="2090" spans="16:16">
      <c r="P2090" s="1"/>
    </row>
    <row r="2091" spans="16:16">
      <c r="P2091" s="1"/>
    </row>
    <row r="2092" spans="16:16">
      <c r="P2092" s="1"/>
    </row>
    <row r="2093" spans="16:16">
      <c r="P2093" s="1"/>
    </row>
    <row r="2094" spans="16:16">
      <c r="P2094" s="1"/>
    </row>
    <row r="2095" spans="16:16">
      <c r="P2095" s="1"/>
    </row>
    <row r="2096" spans="16:16">
      <c r="P2096" s="1"/>
    </row>
    <row r="2097" spans="16:16">
      <c r="P2097" s="1"/>
    </row>
    <row r="2098" spans="16:16">
      <c r="P2098" s="1"/>
    </row>
    <row r="2099" spans="16:16">
      <c r="P2099" s="1"/>
    </row>
    <row r="2100" spans="16:16">
      <c r="P2100" s="1"/>
    </row>
    <row r="2101" spans="16:16">
      <c r="P2101" s="1"/>
    </row>
    <row r="2102" spans="16:16">
      <c r="P2102" s="1"/>
    </row>
    <row r="2103" spans="16:16">
      <c r="P2103" s="1"/>
    </row>
    <row r="2104" spans="16:16">
      <c r="P2104" s="1"/>
    </row>
    <row r="2105" spans="16:16">
      <c r="P2105" s="1"/>
    </row>
    <row r="2106" spans="16:16">
      <c r="P2106" s="1"/>
    </row>
    <row r="2107" spans="16:16">
      <c r="P2107" s="1"/>
    </row>
    <row r="2108" spans="16:16">
      <c r="P2108" s="1"/>
    </row>
    <row r="2109" spans="16:16">
      <c r="P2109" s="1"/>
    </row>
    <row r="2110" spans="16:16">
      <c r="P2110" s="1"/>
    </row>
    <row r="2111" spans="16:16">
      <c r="P2111" s="1"/>
    </row>
    <row r="2112" spans="16:16">
      <c r="P2112" s="1"/>
    </row>
    <row r="2113" spans="16:16">
      <c r="P2113" s="1"/>
    </row>
    <row r="2114" spans="16:16">
      <c r="P2114" s="1"/>
    </row>
    <row r="2115" spans="16:16">
      <c r="P2115" s="1"/>
    </row>
    <row r="2116" spans="16:16">
      <c r="P2116" s="1"/>
    </row>
    <row r="2117" spans="16:16">
      <c r="P2117" s="1"/>
    </row>
    <row r="2118" spans="16:16">
      <c r="P2118" s="1"/>
    </row>
    <row r="2119" spans="16:16">
      <c r="P2119" s="1"/>
    </row>
    <row r="2120" spans="16:16">
      <c r="P2120" s="1"/>
    </row>
    <row r="2121" spans="16:16">
      <c r="P2121" s="1"/>
    </row>
    <row r="2122" spans="16:16">
      <c r="P2122" s="1"/>
    </row>
    <row r="2123" spans="16:16">
      <c r="P2123" s="1"/>
    </row>
    <row r="2124" spans="16:16">
      <c r="P2124" s="1"/>
    </row>
    <row r="2125" spans="16:16">
      <c r="P2125" s="1"/>
    </row>
    <row r="2126" spans="16:16">
      <c r="P2126" s="1"/>
    </row>
    <row r="2127" spans="16:16">
      <c r="P2127" s="1"/>
    </row>
    <row r="2128" spans="16:16">
      <c r="P2128" s="1"/>
    </row>
    <row r="2129" spans="16:16">
      <c r="P2129" s="1"/>
    </row>
    <row r="2130" spans="16:16">
      <c r="P2130" s="1"/>
    </row>
    <row r="2131" spans="16:16">
      <c r="P2131" s="1"/>
    </row>
    <row r="2132" spans="16:16">
      <c r="P2132" s="1"/>
    </row>
    <row r="2133" spans="16:16">
      <c r="P2133" s="1"/>
    </row>
    <row r="2134" spans="16:16">
      <c r="P2134" s="1"/>
    </row>
    <row r="2135" spans="16:16">
      <c r="P2135" s="1"/>
    </row>
    <row r="2136" spans="16:16">
      <c r="P2136" s="1"/>
    </row>
    <row r="2137" spans="16:16">
      <c r="P2137" s="1"/>
    </row>
    <row r="2138" spans="16:16">
      <c r="P2138" s="1"/>
    </row>
    <row r="2139" spans="16:16">
      <c r="P2139" s="1"/>
    </row>
    <row r="2140" spans="16:16">
      <c r="P2140" s="1"/>
    </row>
    <row r="2141" spans="16:16">
      <c r="P2141" s="1"/>
    </row>
    <row r="2142" spans="16:16">
      <c r="P2142" s="1"/>
    </row>
    <row r="2143" spans="16:16">
      <c r="P2143" s="1"/>
    </row>
    <row r="2144" spans="16:16">
      <c r="P2144" s="1"/>
    </row>
    <row r="2145" spans="16:16">
      <c r="P2145" s="1"/>
    </row>
    <row r="2146" spans="16:16">
      <c r="P2146" s="1"/>
    </row>
    <row r="2147" spans="16:16">
      <c r="P2147" s="1"/>
    </row>
    <row r="2148" spans="16:16">
      <c r="P2148" s="1"/>
    </row>
    <row r="2149" spans="16:16">
      <c r="P2149" s="1"/>
    </row>
    <row r="2150" spans="16:16">
      <c r="P2150" s="1"/>
    </row>
    <row r="2151" spans="16:16">
      <c r="P2151" s="1"/>
    </row>
    <row r="2152" spans="16:16">
      <c r="P2152" s="1"/>
    </row>
    <row r="2153" spans="16:16">
      <c r="P2153" s="1"/>
    </row>
    <row r="2154" spans="16:16">
      <c r="P2154" s="1"/>
    </row>
    <row r="2155" spans="16:16">
      <c r="P2155" s="1"/>
    </row>
    <row r="2156" spans="16:16">
      <c r="P2156" s="1"/>
    </row>
    <row r="2157" spans="16:16">
      <c r="P2157" s="1"/>
    </row>
    <row r="2158" spans="16:16">
      <c r="P2158" s="1"/>
    </row>
    <row r="2159" spans="16:16">
      <c r="P2159" s="1"/>
    </row>
    <row r="2160" spans="16:16">
      <c r="P2160" s="1"/>
    </row>
    <row r="2161" spans="16:16">
      <c r="P2161" s="1"/>
    </row>
    <row r="2162" spans="16:16">
      <c r="P2162" s="1"/>
    </row>
    <row r="2163" spans="16:16">
      <c r="P2163" s="1"/>
    </row>
    <row r="2164" spans="16:16">
      <c r="P2164" s="1"/>
    </row>
    <row r="2165" spans="16:16">
      <c r="P2165" s="1"/>
    </row>
    <row r="2166" spans="16:16">
      <c r="P2166" s="1"/>
    </row>
    <row r="2167" spans="16:16">
      <c r="P2167" s="1"/>
    </row>
    <row r="2168" spans="16:16">
      <c r="P2168" s="1"/>
    </row>
    <row r="2169" spans="16:16">
      <c r="P2169" s="1"/>
    </row>
    <row r="2170" spans="16:16">
      <c r="P2170" s="1"/>
    </row>
    <row r="2171" spans="16:16">
      <c r="P2171" s="1"/>
    </row>
    <row r="2172" spans="16:16">
      <c r="P2172" s="1"/>
    </row>
    <row r="2173" spans="16:16">
      <c r="P2173" s="1"/>
    </row>
    <row r="2174" spans="16:16">
      <c r="P2174" s="1"/>
    </row>
    <row r="2175" spans="16:16">
      <c r="P2175" s="1"/>
    </row>
    <row r="2176" spans="16:16">
      <c r="P2176" s="1"/>
    </row>
    <row r="2177" spans="16:16">
      <c r="P2177" s="1"/>
    </row>
    <row r="2178" spans="16:16">
      <c r="P2178" s="1"/>
    </row>
    <row r="2179" spans="16:16">
      <c r="P2179" s="1"/>
    </row>
    <row r="2180" spans="16:16">
      <c r="P2180" s="1"/>
    </row>
    <row r="2181" spans="16:16">
      <c r="P2181" s="1"/>
    </row>
    <row r="2182" spans="16:16">
      <c r="P2182" s="1"/>
    </row>
    <row r="2183" spans="16:16">
      <c r="P2183" s="1"/>
    </row>
    <row r="2184" spans="16:16">
      <c r="P2184" s="1"/>
    </row>
    <row r="2185" spans="16:16">
      <c r="P2185" s="1"/>
    </row>
    <row r="2186" spans="16:16">
      <c r="P2186" s="1"/>
    </row>
    <row r="2187" spans="16:16">
      <c r="P2187" s="1"/>
    </row>
    <row r="2188" spans="16:16">
      <c r="P2188" s="1"/>
    </row>
    <row r="2189" spans="16:16">
      <c r="P2189" s="1"/>
    </row>
    <row r="2190" spans="16:16">
      <c r="P2190" s="1"/>
    </row>
    <row r="2191" spans="16:16">
      <c r="P2191" s="1"/>
    </row>
    <row r="2192" spans="16:16">
      <c r="P2192" s="1"/>
    </row>
    <row r="2193" spans="16:16">
      <c r="P2193" s="1"/>
    </row>
    <row r="2194" spans="16:16">
      <c r="P2194" s="1"/>
    </row>
    <row r="2195" spans="16:16">
      <c r="P2195" s="1"/>
    </row>
    <row r="2196" spans="16:16">
      <c r="P2196" s="1"/>
    </row>
    <row r="2197" spans="16:16">
      <c r="P2197" s="1"/>
    </row>
    <row r="2198" spans="16:16">
      <c r="P2198" s="1"/>
    </row>
    <row r="2199" spans="16:16">
      <c r="P2199" s="1"/>
    </row>
    <row r="2200" spans="16:16">
      <c r="P2200" s="1"/>
    </row>
    <row r="2201" spans="16:16">
      <c r="P2201" s="1"/>
    </row>
    <row r="2202" spans="16:16">
      <c r="P2202" s="1"/>
    </row>
    <row r="2203" spans="16:16">
      <c r="P2203" s="1"/>
    </row>
    <row r="2204" spans="16:16">
      <c r="P2204" s="1"/>
    </row>
    <row r="2205" spans="16:16">
      <c r="P2205" s="1"/>
    </row>
    <row r="2206" spans="16:16">
      <c r="P2206" s="1"/>
    </row>
    <row r="2207" spans="16:16">
      <c r="P2207" s="1"/>
    </row>
    <row r="2208" spans="16:16">
      <c r="P2208" s="1"/>
    </row>
    <row r="2209" spans="16:16">
      <c r="P2209" s="1"/>
    </row>
    <row r="2210" spans="16:16">
      <c r="P2210" s="1"/>
    </row>
    <row r="2211" spans="16:16">
      <c r="P2211" s="1"/>
    </row>
    <row r="2212" spans="16:16">
      <c r="P2212" s="1"/>
    </row>
    <row r="2213" spans="16:16">
      <c r="P2213" s="1"/>
    </row>
    <row r="2214" spans="16:16">
      <c r="P2214" s="1"/>
    </row>
    <row r="2215" spans="16:16">
      <c r="P2215" s="1"/>
    </row>
    <row r="2216" spans="16:16">
      <c r="P2216" s="1"/>
    </row>
    <row r="2217" spans="16:16">
      <c r="P2217" s="1"/>
    </row>
    <row r="2218" spans="16:16">
      <c r="P2218" s="1"/>
    </row>
    <row r="2219" spans="16:16">
      <c r="P2219" s="1"/>
    </row>
    <row r="2220" spans="16:16">
      <c r="P2220" s="1"/>
    </row>
    <row r="2221" spans="16:16">
      <c r="P2221" s="1"/>
    </row>
    <row r="2222" spans="16:16">
      <c r="P2222" s="1"/>
    </row>
    <row r="2223" spans="16:16">
      <c r="P2223" s="1"/>
    </row>
    <row r="2224" spans="16:16">
      <c r="P2224" s="1"/>
    </row>
    <row r="2225" spans="16:16">
      <c r="P2225" s="1"/>
    </row>
    <row r="2226" spans="16:16">
      <c r="P2226" s="1"/>
    </row>
    <row r="2227" spans="16:16">
      <c r="P2227" s="1"/>
    </row>
    <row r="2228" spans="16:16">
      <c r="P2228" s="1"/>
    </row>
    <row r="2229" spans="16:16">
      <c r="P2229" s="1"/>
    </row>
    <row r="2230" spans="16:16">
      <c r="P2230" s="1"/>
    </row>
    <row r="2231" spans="16:16">
      <c r="P2231" s="1"/>
    </row>
    <row r="2232" spans="16:16">
      <c r="P2232" s="1"/>
    </row>
    <row r="2233" spans="16:16">
      <c r="P2233" s="1"/>
    </row>
    <row r="2234" spans="16:16">
      <c r="P2234" s="1"/>
    </row>
    <row r="2235" spans="16:16">
      <c r="P2235" s="1"/>
    </row>
    <row r="2236" spans="16:16">
      <c r="P2236" s="1"/>
    </row>
    <row r="2237" spans="16:16">
      <c r="P2237" s="1"/>
    </row>
    <row r="2238" spans="16:16">
      <c r="P2238" s="1"/>
    </row>
    <row r="2239" spans="16:16">
      <c r="P2239" s="1"/>
    </row>
    <row r="2240" spans="16:16">
      <c r="P2240" s="1"/>
    </row>
    <row r="2241" spans="16:16">
      <c r="P2241" s="1"/>
    </row>
    <row r="2242" spans="16:16">
      <c r="P2242" s="1"/>
    </row>
    <row r="2243" spans="16:16">
      <c r="P2243" s="1"/>
    </row>
    <row r="2244" spans="16:16">
      <c r="P2244" s="1"/>
    </row>
    <row r="2245" spans="16:16">
      <c r="P2245" s="1"/>
    </row>
    <row r="2246" spans="16:16">
      <c r="P2246" s="1"/>
    </row>
    <row r="2247" spans="16:16">
      <c r="P2247" s="1"/>
    </row>
    <row r="2248" spans="16:16">
      <c r="P2248" s="1"/>
    </row>
    <row r="2249" spans="16:16">
      <c r="P2249" s="1"/>
    </row>
    <row r="2250" spans="16:16">
      <c r="P2250" s="1"/>
    </row>
    <row r="2251" spans="16:16">
      <c r="P2251" s="1"/>
    </row>
    <row r="2252" spans="16:16">
      <c r="P2252" s="1"/>
    </row>
    <row r="2253" spans="16:16">
      <c r="P2253" s="1"/>
    </row>
    <row r="2254" spans="16:16">
      <c r="P2254" s="1"/>
    </row>
    <row r="2255" spans="16:16">
      <c r="P2255" s="1"/>
    </row>
    <row r="2256" spans="16:16">
      <c r="P2256" s="1"/>
    </row>
    <row r="2257" spans="16:16">
      <c r="P2257" s="1"/>
    </row>
    <row r="2258" spans="16:16">
      <c r="P2258" s="1"/>
    </row>
    <row r="2259" spans="16:16">
      <c r="P2259" s="1"/>
    </row>
    <row r="2260" spans="16:16">
      <c r="P2260" s="1"/>
    </row>
    <row r="2261" spans="16:16">
      <c r="P2261" s="1"/>
    </row>
    <row r="2262" spans="16:16">
      <c r="P2262" s="1"/>
    </row>
    <row r="2263" spans="16:16">
      <c r="P2263" s="1"/>
    </row>
    <row r="2264" spans="16:16">
      <c r="P2264" s="1"/>
    </row>
    <row r="2265" spans="16:16">
      <c r="P2265" s="1"/>
    </row>
    <row r="2266" spans="16:16">
      <c r="P2266" s="1"/>
    </row>
    <row r="2267" spans="16:16">
      <c r="P2267" s="1"/>
    </row>
    <row r="2268" spans="16:16">
      <c r="P2268" s="1"/>
    </row>
    <row r="2269" spans="16:16">
      <c r="P2269" s="1"/>
    </row>
    <row r="2270" spans="16:16">
      <c r="P2270" s="1"/>
    </row>
    <row r="2271" spans="16:16">
      <c r="P2271" s="1"/>
    </row>
    <row r="2272" spans="16:16">
      <c r="P2272" s="1"/>
    </row>
    <row r="2273" spans="16:16">
      <c r="P2273" s="1"/>
    </row>
    <row r="2274" spans="16:16">
      <c r="P2274" s="1"/>
    </row>
    <row r="2275" spans="16:16">
      <c r="P2275" s="1"/>
    </row>
    <row r="2276" spans="16:16">
      <c r="P2276" s="1"/>
    </row>
    <row r="2277" spans="16:16">
      <c r="P2277" s="1"/>
    </row>
    <row r="2278" spans="16:16">
      <c r="P2278" s="1"/>
    </row>
    <row r="2279" spans="16:16">
      <c r="P2279" s="1"/>
    </row>
    <row r="2280" spans="16:16">
      <c r="P2280" s="1"/>
    </row>
    <row r="2281" spans="16:16">
      <c r="P2281" s="1"/>
    </row>
    <row r="2282" spans="16:16">
      <c r="P2282" s="1"/>
    </row>
    <row r="2283" spans="16:16">
      <c r="P2283" s="1"/>
    </row>
    <row r="2284" spans="16:16">
      <c r="P2284" s="1"/>
    </row>
    <row r="2285" spans="16:16">
      <c r="P2285" s="1"/>
    </row>
    <row r="2286" spans="16:16">
      <c r="P2286" s="1"/>
    </row>
    <row r="2287" spans="16:16">
      <c r="P2287" s="1"/>
    </row>
    <row r="2288" spans="16:16">
      <c r="P2288" s="1"/>
    </row>
    <row r="2289" spans="16:16">
      <c r="P2289" s="1"/>
    </row>
    <row r="2290" spans="16:16">
      <c r="P2290" s="1"/>
    </row>
    <row r="2291" spans="16:16">
      <c r="P2291" s="1"/>
    </row>
    <row r="2292" spans="16:16">
      <c r="P2292" s="1"/>
    </row>
    <row r="2293" spans="16:16">
      <c r="P2293" s="1"/>
    </row>
    <row r="2294" spans="16:16">
      <c r="P2294" s="1"/>
    </row>
    <row r="2295" spans="16:16">
      <c r="P2295" s="1"/>
    </row>
    <row r="2296" spans="16:16">
      <c r="P2296" s="1"/>
    </row>
    <row r="2297" spans="16:16">
      <c r="P2297" s="1"/>
    </row>
    <row r="2298" spans="16:16">
      <c r="P2298" s="1"/>
    </row>
    <row r="2299" spans="16:16">
      <c r="P2299" s="1"/>
    </row>
    <row r="2300" spans="16:16">
      <c r="P2300" s="1"/>
    </row>
    <row r="2301" spans="16:16">
      <c r="P2301" s="1"/>
    </row>
    <row r="2302" spans="16:16">
      <c r="P2302" s="1"/>
    </row>
    <row r="2303" spans="16:16">
      <c r="P2303" s="1"/>
    </row>
    <row r="2304" spans="16:16">
      <c r="P2304" s="1"/>
    </row>
    <row r="2305" spans="16:16">
      <c r="P2305" s="1"/>
    </row>
    <row r="2306" spans="16:16">
      <c r="P2306" s="1"/>
    </row>
    <row r="2307" spans="16:16">
      <c r="P2307" s="1"/>
    </row>
    <row r="2308" spans="16:16">
      <c r="P2308" s="1"/>
    </row>
    <row r="2309" spans="16:16">
      <c r="P2309" s="1"/>
    </row>
    <row r="2310" spans="16:16">
      <c r="P2310" s="1"/>
    </row>
    <row r="2311" spans="16:16">
      <c r="P2311" s="1"/>
    </row>
    <row r="2312" spans="16:16">
      <c r="P2312" s="1"/>
    </row>
    <row r="2313" spans="16:16">
      <c r="P2313" s="1"/>
    </row>
    <row r="2314" spans="16:16">
      <c r="P2314" s="1"/>
    </row>
    <row r="2315" spans="16:16">
      <c r="P2315" s="1"/>
    </row>
    <row r="2316" spans="16:16">
      <c r="P2316" s="1"/>
    </row>
    <row r="2317" spans="16:16">
      <c r="P2317" s="1"/>
    </row>
    <row r="2318" spans="16:16">
      <c r="P2318" s="1"/>
    </row>
    <row r="2319" spans="16:16">
      <c r="P2319" s="1"/>
    </row>
    <row r="2320" spans="16:16">
      <c r="P2320" s="1"/>
    </row>
    <row r="2321" spans="16:16">
      <c r="P2321" s="1"/>
    </row>
    <row r="2322" spans="16:16">
      <c r="P2322" s="1"/>
    </row>
    <row r="2323" spans="16:16">
      <c r="P2323" s="1"/>
    </row>
    <row r="2324" spans="16:16">
      <c r="P2324" s="1"/>
    </row>
    <row r="2325" spans="16:16">
      <c r="P2325" s="1"/>
    </row>
    <row r="2326" spans="16:16">
      <c r="P2326" s="1"/>
    </row>
    <row r="2327" spans="16:16">
      <c r="P2327" s="1"/>
    </row>
    <row r="2328" spans="16:16">
      <c r="P2328" s="1"/>
    </row>
    <row r="2329" spans="16:16">
      <c r="P2329" s="1"/>
    </row>
    <row r="2330" spans="16:16">
      <c r="P2330" s="1"/>
    </row>
    <row r="2331" spans="16:16">
      <c r="P2331" s="1"/>
    </row>
    <row r="2332" spans="16:16">
      <c r="P2332" s="1"/>
    </row>
    <row r="2333" spans="16:16">
      <c r="P2333" s="1"/>
    </row>
    <row r="2334" spans="16:16">
      <c r="P2334" s="1"/>
    </row>
    <row r="2335" spans="16:16">
      <c r="P2335" s="1"/>
    </row>
    <row r="2336" spans="16:16">
      <c r="P2336" s="1"/>
    </row>
    <row r="2337" spans="16:16">
      <c r="P2337" s="1"/>
    </row>
    <row r="2338" spans="16:16">
      <c r="P2338" s="1"/>
    </row>
    <row r="2339" spans="16:16">
      <c r="P2339" s="1"/>
    </row>
    <row r="2340" spans="16:16">
      <c r="P2340" s="1"/>
    </row>
    <row r="2341" spans="16:16">
      <c r="P2341" s="1"/>
    </row>
    <row r="2342" spans="16:16">
      <c r="P2342" s="1"/>
    </row>
    <row r="2343" spans="16:16">
      <c r="P2343" s="1"/>
    </row>
    <row r="2344" spans="16:16">
      <c r="P2344" s="1"/>
    </row>
    <row r="2345" spans="16:16">
      <c r="P2345" s="1"/>
    </row>
    <row r="2346" spans="16:16">
      <c r="P2346" s="1"/>
    </row>
    <row r="2347" spans="16:16">
      <c r="P2347" s="1"/>
    </row>
    <row r="2348" spans="16:16">
      <c r="P2348" s="1"/>
    </row>
    <row r="2349" spans="16:16">
      <c r="P2349" s="1"/>
    </row>
    <row r="2350" spans="16:16">
      <c r="P2350" s="1"/>
    </row>
    <row r="2351" spans="16:16">
      <c r="P2351" s="1"/>
    </row>
    <row r="2352" spans="16:16">
      <c r="P2352" s="1"/>
    </row>
    <row r="2353" spans="16:16">
      <c r="P2353" s="1"/>
    </row>
    <row r="2354" spans="16:16">
      <c r="P2354" s="1"/>
    </row>
    <row r="2355" spans="16:16">
      <c r="P2355" s="1"/>
    </row>
    <row r="2356" spans="16:16">
      <c r="P2356" s="1"/>
    </row>
    <row r="2357" spans="16:16">
      <c r="P2357" s="1"/>
    </row>
    <row r="2358" spans="16:16">
      <c r="P2358" s="1"/>
    </row>
    <row r="2359" spans="16:16">
      <c r="P2359" s="1"/>
    </row>
    <row r="2360" spans="16:16">
      <c r="P2360" s="1"/>
    </row>
    <row r="2361" spans="16:16">
      <c r="P2361" s="1"/>
    </row>
    <row r="2362" spans="16:16">
      <c r="P2362" s="1"/>
    </row>
    <row r="2363" spans="16:16">
      <c r="P2363" s="1"/>
    </row>
    <row r="2364" spans="16:16">
      <c r="P2364" s="1"/>
    </row>
    <row r="2365" spans="16:16">
      <c r="P2365" s="1"/>
    </row>
    <row r="2366" spans="16:16">
      <c r="P2366" s="1"/>
    </row>
    <row r="2367" spans="16:16">
      <c r="P2367" s="1"/>
    </row>
    <row r="2368" spans="16:16">
      <c r="P2368" s="1"/>
    </row>
    <row r="2369" spans="16:16">
      <c r="P2369" s="1"/>
    </row>
    <row r="2370" spans="16:16">
      <c r="P2370" s="1"/>
    </row>
    <row r="2371" spans="16:16">
      <c r="P2371" s="1"/>
    </row>
    <row r="2372" spans="16:16">
      <c r="P2372" s="1"/>
    </row>
    <row r="2373" spans="16:16">
      <c r="P2373" s="1"/>
    </row>
    <row r="2374" spans="16:16">
      <c r="P2374" s="1"/>
    </row>
    <row r="2375" spans="16:16">
      <c r="P2375" s="1"/>
    </row>
    <row r="2376" spans="16:16">
      <c r="P2376" s="1"/>
    </row>
    <row r="2377" spans="16:16">
      <c r="P2377" s="1"/>
    </row>
    <row r="2378" spans="16:16">
      <c r="P2378" s="1"/>
    </row>
    <row r="2379" spans="16:16">
      <c r="P2379" s="1"/>
    </row>
    <row r="2380" spans="16:16">
      <c r="P2380" s="1"/>
    </row>
    <row r="2381" spans="16:16">
      <c r="P2381" s="1"/>
    </row>
    <row r="2382" spans="16:16">
      <c r="P2382" s="1"/>
    </row>
    <row r="2383" spans="16:16">
      <c r="P2383" s="1"/>
    </row>
    <row r="2384" spans="16:16">
      <c r="P2384" s="1"/>
    </row>
    <row r="2385" spans="16:16">
      <c r="P2385" s="1"/>
    </row>
    <row r="2386" spans="16:16">
      <c r="P2386" s="1"/>
    </row>
    <row r="2387" spans="16:16">
      <c r="P2387" s="1"/>
    </row>
    <row r="2388" spans="16:16">
      <c r="P2388" s="1"/>
    </row>
    <row r="2389" spans="16:16">
      <c r="P2389" s="1"/>
    </row>
    <row r="2390" spans="16:16">
      <c r="P2390" s="1"/>
    </row>
    <row r="2391" spans="16:16">
      <c r="P2391" s="1"/>
    </row>
    <row r="2392" spans="16:16">
      <c r="P2392" s="1"/>
    </row>
    <row r="2393" spans="16:16">
      <c r="P2393" s="1"/>
    </row>
    <row r="2394" spans="16:16">
      <c r="P2394" s="1"/>
    </row>
    <row r="2395" spans="16:16">
      <c r="P2395" s="1"/>
    </row>
    <row r="2396" spans="16:16">
      <c r="P2396" s="1"/>
    </row>
    <row r="2397" spans="16:16">
      <c r="P2397" s="1"/>
    </row>
    <row r="2398" spans="16:16">
      <c r="P2398" s="1"/>
    </row>
    <row r="2399" spans="16:16">
      <c r="P2399" s="1"/>
    </row>
    <row r="2400" spans="16:16">
      <c r="P2400" s="1"/>
    </row>
    <row r="2401" spans="16:16">
      <c r="P2401" s="1"/>
    </row>
    <row r="2402" spans="16:16">
      <c r="P2402" s="1"/>
    </row>
    <row r="2403" spans="16:16">
      <c r="P2403" s="1"/>
    </row>
    <row r="2404" spans="16:16">
      <c r="P2404" s="1"/>
    </row>
    <row r="2405" spans="16:16">
      <c r="P2405" s="1"/>
    </row>
    <row r="2406" spans="16:16">
      <c r="P2406" s="1"/>
    </row>
    <row r="2407" spans="16:16">
      <c r="P2407" s="1"/>
    </row>
    <row r="2408" spans="16:16">
      <c r="P2408" s="1"/>
    </row>
    <row r="2409" spans="16:16">
      <c r="P2409" s="1"/>
    </row>
    <row r="2410" spans="16:16">
      <c r="P2410" s="1"/>
    </row>
    <row r="2411" spans="16:16">
      <c r="P2411" s="1"/>
    </row>
    <row r="2412" spans="16:16">
      <c r="P2412" s="1"/>
    </row>
    <row r="2413" spans="16:16">
      <c r="P2413" s="1"/>
    </row>
    <row r="2414" spans="16:16">
      <c r="P2414" s="1"/>
    </row>
    <row r="2415" spans="16:16">
      <c r="P2415" s="1"/>
    </row>
    <row r="2416" spans="16:16">
      <c r="P2416" s="1"/>
    </row>
    <row r="2417" spans="16:16">
      <c r="P2417" s="1"/>
    </row>
    <row r="2418" spans="16:16">
      <c r="P2418" s="1"/>
    </row>
    <row r="2419" spans="16:16">
      <c r="P2419" s="1"/>
    </row>
    <row r="2420" spans="16:16">
      <c r="P2420" s="1"/>
    </row>
    <row r="2421" spans="16:16">
      <c r="P2421" s="1"/>
    </row>
    <row r="2422" spans="16:16">
      <c r="P2422" s="1"/>
    </row>
    <row r="2423" spans="16:16">
      <c r="P2423" s="1"/>
    </row>
    <row r="2424" spans="16:16">
      <c r="P2424" s="1"/>
    </row>
    <row r="2425" spans="16:16">
      <c r="P2425" s="1"/>
    </row>
    <row r="2426" spans="16:16">
      <c r="P2426" s="1"/>
    </row>
    <row r="2427" spans="16:16">
      <c r="P2427" s="1"/>
    </row>
    <row r="2428" spans="16:16">
      <c r="P2428" s="1"/>
    </row>
    <row r="2429" spans="16:16">
      <c r="P2429" s="1"/>
    </row>
    <row r="2430" spans="16:16">
      <c r="P2430" s="1"/>
    </row>
    <row r="2431" spans="16:16">
      <c r="P2431" s="1"/>
    </row>
    <row r="2432" spans="16:16">
      <c r="P2432" s="1"/>
    </row>
    <row r="2433" spans="16:16">
      <c r="P2433" s="1"/>
    </row>
    <row r="2434" spans="16:16">
      <c r="P2434" s="1"/>
    </row>
    <row r="2435" spans="16:16">
      <c r="P2435" s="1"/>
    </row>
    <row r="2436" spans="16:16">
      <c r="P2436" s="1"/>
    </row>
    <row r="2437" spans="16:16">
      <c r="P2437" s="1"/>
    </row>
    <row r="2438" spans="16:16">
      <c r="P2438" s="1"/>
    </row>
    <row r="2439" spans="16:16">
      <c r="P2439" s="1"/>
    </row>
    <row r="2440" spans="16:16">
      <c r="P2440" s="1"/>
    </row>
    <row r="2441" spans="16:16">
      <c r="P2441" s="1"/>
    </row>
    <row r="2442" spans="16:16">
      <c r="P2442" s="1"/>
    </row>
    <row r="2443" spans="16:16">
      <c r="P2443" s="1"/>
    </row>
    <row r="2444" spans="16:16">
      <c r="P2444" s="1"/>
    </row>
    <row r="2445" spans="16:16">
      <c r="P2445" s="1"/>
    </row>
    <row r="2446" spans="16:16">
      <c r="P2446" s="1"/>
    </row>
    <row r="2447" spans="16:16">
      <c r="P2447" s="1"/>
    </row>
    <row r="2448" spans="16:16">
      <c r="P2448" s="1"/>
    </row>
    <row r="2449" spans="16:16">
      <c r="P2449" s="1"/>
    </row>
    <row r="2450" spans="16:16">
      <c r="P2450" s="1"/>
    </row>
    <row r="2451" spans="16:16">
      <c r="P2451" s="1"/>
    </row>
    <row r="2452" spans="16:16">
      <c r="P2452" s="1"/>
    </row>
    <row r="2453" spans="16:16">
      <c r="P2453" s="1"/>
    </row>
    <row r="2454" spans="16:16">
      <c r="P2454" s="1"/>
    </row>
    <row r="2455" spans="16:16">
      <c r="P2455" s="1"/>
    </row>
    <row r="2456" spans="16:16">
      <c r="P2456" s="1"/>
    </row>
    <row r="2457" spans="16:16">
      <c r="P2457" s="1"/>
    </row>
    <row r="2458" spans="16:16">
      <c r="P2458" s="1"/>
    </row>
    <row r="2459" spans="16:16">
      <c r="P2459" s="1"/>
    </row>
    <row r="2460" spans="16:16">
      <c r="P2460" s="1"/>
    </row>
    <row r="2461" spans="16:16">
      <c r="P2461" s="1"/>
    </row>
    <row r="2462" spans="16:16">
      <c r="P2462" s="1"/>
    </row>
    <row r="2463" spans="16:16">
      <c r="P2463" s="1"/>
    </row>
    <row r="2464" spans="16:16">
      <c r="P2464" s="1"/>
    </row>
    <row r="2465" spans="16:16">
      <c r="P2465" s="1"/>
    </row>
    <row r="2466" spans="16:16">
      <c r="P2466" s="1"/>
    </row>
    <row r="2467" spans="16:16">
      <c r="P2467" s="1"/>
    </row>
    <row r="2468" spans="16:16">
      <c r="P2468" s="1"/>
    </row>
    <row r="2469" spans="16:16">
      <c r="P2469" s="1"/>
    </row>
    <row r="2470" spans="16:16">
      <c r="P2470" s="1"/>
    </row>
    <row r="2471" spans="16:16">
      <c r="P2471" s="1"/>
    </row>
    <row r="2472" spans="16:16">
      <c r="P2472" s="1"/>
    </row>
    <row r="2473" spans="16:16">
      <c r="P2473" s="1"/>
    </row>
    <row r="2474" spans="16:16">
      <c r="P2474" s="1"/>
    </row>
    <row r="2475" spans="16:16">
      <c r="P2475" s="1"/>
    </row>
    <row r="2476" spans="16:16">
      <c r="P2476" s="1"/>
    </row>
    <row r="2477" spans="16:16">
      <c r="P2477" s="1"/>
    </row>
    <row r="2478" spans="16:16">
      <c r="P2478" s="1"/>
    </row>
    <row r="2479" spans="16:16">
      <c r="P2479" s="1"/>
    </row>
    <row r="2480" spans="16:16">
      <c r="P2480" s="1"/>
    </row>
    <row r="2481" spans="16:16">
      <c r="P2481" s="1"/>
    </row>
    <row r="2482" spans="16:16">
      <c r="P2482" s="1"/>
    </row>
    <row r="2483" spans="16:16">
      <c r="P2483" s="1"/>
    </row>
    <row r="2484" spans="16:16">
      <c r="P2484" s="1"/>
    </row>
    <row r="2485" spans="16:16">
      <c r="P2485" s="1"/>
    </row>
    <row r="2486" spans="16:16">
      <c r="P2486" s="1"/>
    </row>
    <row r="2487" spans="16:16">
      <c r="P2487" s="1"/>
    </row>
    <row r="2488" spans="16:16">
      <c r="P2488" s="1"/>
    </row>
    <row r="2489" spans="16:16">
      <c r="P2489" s="1"/>
    </row>
    <row r="2490" spans="16:16">
      <c r="P2490" s="1"/>
    </row>
    <row r="2491" spans="16:16">
      <c r="P2491" s="1"/>
    </row>
    <row r="2492" spans="16:16">
      <c r="P2492" s="1"/>
    </row>
    <row r="2493" spans="16:16">
      <c r="P2493" s="1"/>
    </row>
    <row r="2494" spans="16:16">
      <c r="P2494" s="1"/>
    </row>
    <row r="2495" spans="16:16">
      <c r="P2495" s="1"/>
    </row>
    <row r="2496" spans="16:16">
      <c r="P2496" s="1"/>
    </row>
    <row r="2497" spans="16:16">
      <c r="P2497" s="1"/>
    </row>
    <row r="2498" spans="16:16">
      <c r="P2498" s="1"/>
    </row>
    <row r="2499" spans="16:16">
      <c r="P2499" s="1"/>
    </row>
    <row r="2500" spans="16:16">
      <c r="P2500" s="1"/>
    </row>
    <row r="2501" spans="16:16">
      <c r="P2501" s="1"/>
    </row>
    <row r="2502" spans="16:16">
      <c r="P2502" s="1"/>
    </row>
    <row r="2503" spans="16:16">
      <c r="P2503" s="1"/>
    </row>
    <row r="2504" spans="16:16">
      <c r="P2504" s="1"/>
    </row>
    <row r="2505" spans="16:16">
      <c r="P2505" s="1"/>
    </row>
    <row r="2506" spans="16:16">
      <c r="P2506" s="1"/>
    </row>
    <row r="2507" spans="16:16">
      <c r="P2507" s="1"/>
    </row>
    <row r="2508" spans="16:16">
      <c r="P2508" s="1"/>
    </row>
    <row r="2509" spans="16:16">
      <c r="P2509" s="1"/>
    </row>
    <row r="2510" spans="16:16">
      <c r="P2510" s="1"/>
    </row>
    <row r="2511" spans="16:16">
      <c r="P2511" s="1"/>
    </row>
    <row r="2512" spans="16:16">
      <c r="P2512" s="1"/>
    </row>
    <row r="2513" spans="16:16">
      <c r="P2513" s="1"/>
    </row>
    <row r="2514" spans="16:16">
      <c r="P2514" s="1"/>
    </row>
    <row r="2515" spans="16:16">
      <c r="P2515" s="1"/>
    </row>
    <row r="2516" spans="16:16">
      <c r="P2516" s="1"/>
    </row>
    <row r="2517" spans="16:16">
      <c r="P2517" s="1"/>
    </row>
    <row r="2518" spans="16:16">
      <c r="P2518" s="1"/>
    </row>
    <row r="2519" spans="16:16">
      <c r="P2519" s="1"/>
    </row>
    <row r="2520" spans="16:16">
      <c r="P2520" s="1"/>
    </row>
    <row r="2521" spans="16:16">
      <c r="P2521" s="1"/>
    </row>
    <row r="2522" spans="16:16">
      <c r="P2522" s="1"/>
    </row>
    <row r="2523" spans="16:16">
      <c r="P2523" s="1"/>
    </row>
    <row r="2524" spans="16:16">
      <c r="P2524" s="1"/>
    </row>
    <row r="2525" spans="16:16">
      <c r="P2525" s="1"/>
    </row>
    <row r="2526" spans="16:16">
      <c r="P2526" s="1"/>
    </row>
    <row r="2527" spans="16:16">
      <c r="P2527" s="1"/>
    </row>
    <row r="2528" spans="16:16">
      <c r="P2528" s="1"/>
    </row>
    <row r="2529" spans="16:16">
      <c r="P2529" s="1"/>
    </row>
    <row r="2530" spans="16:16">
      <c r="P2530" s="1"/>
    </row>
    <row r="2531" spans="16:16">
      <c r="P2531" s="1"/>
    </row>
    <row r="2532" spans="16:16">
      <c r="P2532" s="1"/>
    </row>
    <row r="2533" spans="16:16">
      <c r="P2533" s="1"/>
    </row>
    <row r="2534" spans="16:16">
      <c r="P2534" s="1"/>
    </row>
    <row r="2535" spans="16:16">
      <c r="P2535" s="1"/>
    </row>
    <row r="2536" spans="16:16">
      <c r="P2536" s="1"/>
    </row>
    <row r="2537" spans="16:16">
      <c r="P2537" s="1"/>
    </row>
    <row r="2538" spans="16:16">
      <c r="P2538" s="1"/>
    </row>
    <row r="2539" spans="16:16">
      <c r="P2539" s="1"/>
    </row>
    <row r="2540" spans="16:16">
      <c r="P2540" s="1"/>
    </row>
    <row r="2541" spans="16:16">
      <c r="P2541" s="1"/>
    </row>
    <row r="2542" spans="16:16">
      <c r="P2542" s="1"/>
    </row>
    <row r="2543" spans="16:16">
      <c r="P2543" s="1"/>
    </row>
    <row r="2544" spans="16:16">
      <c r="P2544" s="1"/>
    </row>
    <row r="2545" spans="16:16">
      <c r="P2545" s="1"/>
    </row>
    <row r="2546" spans="16:16">
      <c r="P2546" s="1"/>
    </row>
    <row r="2547" spans="16:16">
      <c r="P2547" s="1"/>
    </row>
    <row r="2548" spans="16:16">
      <c r="P2548" s="1"/>
    </row>
    <row r="2549" spans="16:16">
      <c r="P2549" s="1"/>
    </row>
    <row r="2550" spans="16:16">
      <c r="P2550" s="1"/>
    </row>
    <row r="2551" spans="16:16">
      <c r="P2551" s="1"/>
    </row>
    <row r="2552" spans="16:16">
      <c r="P2552" s="1"/>
    </row>
    <row r="2553" spans="16:16">
      <c r="P2553" s="1"/>
    </row>
    <row r="2554" spans="16:16">
      <c r="P2554" s="1"/>
    </row>
    <row r="2555" spans="16:16">
      <c r="P2555" s="1"/>
    </row>
    <row r="2556" spans="16:16">
      <c r="P2556" s="1"/>
    </row>
    <row r="2557" spans="16:16">
      <c r="P2557" s="1"/>
    </row>
    <row r="2558" spans="16:16">
      <c r="P2558" s="1"/>
    </row>
    <row r="2559" spans="16:16">
      <c r="P2559" s="1"/>
    </row>
    <row r="2560" spans="16:16">
      <c r="P2560" s="1"/>
    </row>
    <row r="2561" spans="16:16">
      <c r="P2561" s="1"/>
    </row>
    <row r="2562" spans="16:16">
      <c r="P2562" s="1"/>
    </row>
    <row r="2563" spans="16:16">
      <c r="P2563" s="1"/>
    </row>
    <row r="2564" spans="16:16">
      <c r="P2564" s="1"/>
    </row>
    <row r="2565" spans="16:16">
      <c r="P2565" s="1"/>
    </row>
    <row r="2566" spans="16:16">
      <c r="P2566" s="1"/>
    </row>
    <row r="2567" spans="16:16">
      <c r="P2567" s="1"/>
    </row>
    <row r="2568" spans="16:16">
      <c r="P2568" s="1"/>
    </row>
    <row r="2569" spans="16:16">
      <c r="P2569" s="1"/>
    </row>
    <row r="2570" spans="16:16">
      <c r="P2570" s="1"/>
    </row>
    <row r="2571" spans="16:16">
      <c r="P2571" s="1"/>
    </row>
    <row r="2572" spans="16:16">
      <c r="P2572" s="1"/>
    </row>
    <row r="2573" spans="16:16">
      <c r="P2573" s="1"/>
    </row>
    <row r="2574" spans="16:16">
      <c r="P2574" s="1"/>
    </row>
    <row r="2575" spans="16:16">
      <c r="P2575" s="1"/>
    </row>
    <row r="2576" spans="16:16">
      <c r="P2576" s="1"/>
    </row>
    <row r="2577" spans="16:16">
      <c r="P2577" s="1"/>
    </row>
    <row r="2578" spans="16:16">
      <c r="P2578" s="1"/>
    </row>
    <row r="2579" spans="16:16">
      <c r="P2579" s="1"/>
    </row>
    <row r="2580" spans="16:16">
      <c r="P2580" s="1"/>
    </row>
    <row r="2581" spans="16:16">
      <c r="P2581" s="1"/>
    </row>
    <row r="2582" spans="16:16">
      <c r="P2582" s="1"/>
    </row>
    <row r="2583" spans="16:16">
      <c r="P2583" s="1"/>
    </row>
    <row r="2584" spans="16:16">
      <c r="P2584" s="1"/>
    </row>
    <row r="2585" spans="16:16">
      <c r="P2585" s="1"/>
    </row>
    <row r="2586" spans="16:16">
      <c r="P2586" s="1"/>
    </row>
    <row r="2587" spans="16:16">
      <c r="P2587" s="1"/>
    </row>
    <row r="2588" spans="16:16">
      <c r="P2588" s="1"/>
    </row>
    <row r="2589" spans="16:16">
      <c r="P2589" s="1"/>
    </row>
    <row r="2590" spans="16:16">
      <c r="P2590" s="1"/>
    </row>
    <row r="2591" spans="16:16">
      <c r="P2591" s="1"/>
    </row>
    <row r="2592" spans="16:16">
      <c r="P2592" s="1"/>
    </row>
    <row r="2593" spans="16:16">
      <c r="P2593" s="1"/>
    </row>
    <row r="2594" spans="16:16">
      <c r="P2594" s="1"/>
    </row>
    <row r="2595" spans="16:16">
      <c r="P2595" s="1"/>
    </row>
    <row r="2596" spans="16:16">
      <c r="P2596" s="1"/>
    </row>
    <row r="2597" spans="16:16">
      <c r="P2597" s="1"/>
    </row>
    <row r="2598" spans="16:16">
      <c r="P2598" s="1"/>
    </row>
    <row r="2599" spans="16:16">
      <c r="P2599" s="1"/>
    </row>
    <row r="2600" spans="16:16">
      <c r="P2600" s="1"/>
    </row>
    <row r="2601" spans="16:16">
      <c r="P2601" s="1"/>
    </row>
    <row r="2602" spans="16:16">
      <c r="P2602" s="1"/>
    </row>
    <row r="2603" spans="16:16">
      <c r="P2603" s="1"/>
    </row>
    <row r="2604" spans="16:16">
      <c r="P2604" s="1"/>
    </row>
    <row r="2605" spans="16:16">
      <c r="P2605" s="1"/>
    </row>
    <row r="2606" spans="16:16">
      <c r="P2606" s="1"/>
    </row>
    <row r="2607" spans="16:16">
      <c r="P2607" s="1"/>
    </row>
    <row r="2608" spans="16:16">
      <c r="P2608" s="1"/>
    </row>
    <row r="2609" spans="16:16">
      <c r="P2609" s="1"/>
    </row>
    <row r="2610" spans="16:16">
      <c r="P2610" s="1"/>
    </row>
    <row r="2611" spans="16:16">
      <c r="P2611" s="1"/>
    </row>
    <row r="2612" spans="16:16">
      <c r="P2612" s="1"/>
    </row>
    <row r="2613" spans="16:16">
      <c r="P2613" s="1"/>
    </row>
    <row r="2614" spans="16:16">
      <c r="P2614" s="1"/>
    </row>
    <row r="2615" spans="16:16">
      <c r="P2615" s="1"/>
    </row>
    <row r="2616" spans="16:16">
      <c r="P2616" s="1"/>
    </row>
    <row r="2617" spans="16:16">
      <c r="P2617" s="1"/>
    </row>
    <row r="2618" spans="16:16">
      <c r="P2618" s="1"/>
    </row>
    <row r="2619" spans="16:16">
      <c r="P2619" s="1"/>
    </row>
    <row r="2620" spans="16:16">
      <c r="P2620" s="1"/>
    </row>
    <row r="2621" spans="16:16">
      <c r="P2621" s="1"/>
    </row>
    <row r="2622" spans="16:16">
      <c r="P2622" s="1"/>
    </row>
    <row r="2623" spans="16:16">
      <c r="P2623" s="1"/>
    </row>
    <row r="2624" spans="16:16">
      <c r="P2624" s="1"/>
    </row>
    <row r="2625" spans="16:16">
      <c r="P2625" s="1"/>
    </row>
    <row r="2626" spans="16:16">
      <c r="P2626" s="1"/>
    </row>
    <row r="2627" spans="16:16">
      <c r="P2627" s="1"/>
    </row>
    <row r="2628" spans="16:16">
      <c r="P2628" s="1"/>
    </row>
    <row r="2629" spans="16:16">
      <c r="P2629" s="1"/>
    </row>
    <row r="2630" spans="16:16">
      <c r="P2630" s="1"/>
    </row>
    <row r="2631" spans="16:16">
      <c r="P2631" s="1"/>
    </row>
    <row r="2632" spans="16:16">
      <c r="P2632" s="1"/>
    </row>
    <row r="2633" spans="16:16">
      <c r="P2633" s="1"/>
    </row>
    <row r="2634" spans="16:16">
      <c r="P2634" s="1"/>
    </row>
    <row r="2635" spans="16:16">
      <c r="P2635" s="1"/>
    </row>
    <row r="2636" spans="16:16">
      <c r="P2636" s="1"/>
    </row>
    <row r="2637" spans="16:16">
      <c r="P2637" s="1"/>
    </row>
    <row r="2638" spans="16:16">
      <c r="P2638" s="1"/>
    </row>
    <row r="2639" spans="16:16">
      <c r="P2639" s="1"/>
    </row>
    <row r="2640" spans="16:16">
      <c r="P2640" s="1"/>
    </row>
    <row r="2641" spans="16:16">
      <c r="P2641" s="1"/>
    </row>
    <row r="2642" spans="16:16">
      <c r="P2642" s="1"/>
    </row>
    <row r="2643" spans="16:16">
      <c r="P2643" s="1"/>
    </row>
    <row r="2644" spans="16:16">
      <c r="P2644" s="1"/>
    </row>
    <row r="2645" spans="16:16">
      <c r="P2645" s="1"/>
    </row>
    <row r="2646" spans="16:16">
      <c r="P2646" s="1"/>
    </row>
    <row r="2647" spans="16:16">
      <c r="P2647" s="1"/>
    </row>
    <row r="2648" spans="16:16">
      <c r="P2648" s="1"/>
    </row>
    <row r="2649" spans="16:16">
      <c r="P2649" s="1"/>
    </row>
    <row r="2650" spans="16:16">
      <c r="P2650" s="1"/>
    </row>
    <row r="2651" spans="16:16">
      <c r="P2651" s="1"/>
    </row>
    <row r="2652" spans="16:16">
      <c r="P2652" s="1"/>
    </row>
    <row r="2653" spans="16:16">
      <c r="P2653" s="1"/>
    </row>
    <row r="2654" spans="16:16">
      <c r="P2654" s="1"/>
    </row>
    <row r="2655" spans="16:16">
      <c r="P2655" s="1"/>
    </row>
    <row r="2656" spans="16:16">
      <c r="P2656" s="1"/>
    </row>
    <row r="2657" spans="16:16">
      <c r="P2657" s="1"/>
    </row>
    <row r="2658" spans="16:16">
      <c r="P2658" s="1"/>
    </row>
    <row r="2659" spans="16:16">
      <c r="P2659" s="1"/>
    </row>
    <row r="2660" spans="16:16">
      <c r="P2660" s="1"/>
    </row>
    <row r="2661" spans="16:16">
      <c r="P2661" s="1"/>
    </row>
    <row r="2662" spans="16:16">
      <c r="P2662" s="1"/>
    </row>
    <row r="2663" spans="16:16">
      <c r="P2663" s="1"/>
    </row>
    <row r="2664" spans="16:16">
      <c r="P2664" s="1"/>
    </row>
    <row r="2665" spans="16:16">
      <c r="P2665" s="1"/>
    </row>
    <row r="2666" spans="16:16">
      <c r="P2666" s="1"/>
    </row>
    <row r="2667" spans="16:16">
      <c r="P2667" s="1"/>
    </row>
    <row r="2668" spans="16:16">
      <c r="P2668" s="1"/>
    </row>
    <row r="2669" spans="16:16">
      <c r="P2669" s="1"/>
    </row>
    <row r="2670" spans="16:16">
      <c r="P2670" s="1"/>
    </row>
    <row r="2671" spans="16:16">
      <c r="P2671" s="1"/>
    </row>
    <row r="2672" spans="16:16">
      <c r="P2672" s="1"/>
    </row>
    <row r="2673" spans="16:16">
      <c r="P2673" s="1"/>
    </row>
    <row r="2674" spans="16:16">
      <c r="P2674" s="1"/>
    </row>
    <row r="2675" spans="16:16">
      <c r="P2675" s="1"/>
    </row>
    <row r="2676" spans="16:16">
      <c r="P2676" s="1"/>
    </row>
    <row r="2677" spans="16:16">
      <c r="P2677" s="1"/>
    </row>
    <row r="2678" spans="16:16">
      <c r="P2678" s="1"/>
    </row>
    <row r="2679" spans="16:16">
      <c r="P2679" s="1"/>
    </row>
    <row r="2680" spans="16:16">
      <c r="P2680" s="1"/>
    </row>
    <row r="2681" spans="16:16">
      <c r="P2681" s="1"/>
    </row>
    <row r="2682" spans="16:16">
      <c r="P2682" s="1"/>
    </row>
    <row r="2683" spans="16:16">
      <c r="P2683" s="1"/>
    </row>
    <row r="2684" spans="16:16">
      <c r="P2684" s="1"/>
    </row>
    <row r="2685" spans="16:16">
      <c r="P2685" s="1"/>
    </row>
    <row r="2686" spans="16:16">
      <c r="P2686" s="1"/>
    </row>
    <row r="2687" spans="16:16">
      <c r="P2687" s="1"/>
    </row>
    <row r="2688" spans="16:16">
      <c r="P2688" s="1"/>
    </row>
    <row r="2689" spans="16:16">
      <c r="P2689" s="1"/>
    </row>
    <row r="2690" spans="16:16">
      <c r="P2690" s="1"/>
    </row>
    <row r="2691" spans="16:16">
      <c r="P2691" s="1"/>
    </row>
    <row r="2692" spans="16:16">
      <c r="P2692" s="1"/>
    </row>
    <row r="2693" spans="16:16">
      <c r="P2693" s="1"/>
    </row>
    <row r="2694" spans="16:16">
      <c r="P2694" s="1"/>
    </row>
    <row r="2695" spans="16:16">
      <c r="P2695" s="1"/>
    </row>
    <row r="2696" spans="16:16">
      <c r="P2696" s="1"/>
    </row>
    <row r="2697" spans="16:16">
      <c r="P2697" s="1"/>
    </row>
    <row r="2698" spans="16:16">
      <c r="P2698" s="1"/>
    </row>
    <row r="2699" spans="16:16">
      <c r="P2699" s="1"/>
    </row>
    <row r="2700" spans="16:16">
      <c r="P2700" s="1"/>
    </row>
    <row r="2701" spans="16:16">
      <c r="P2701" s="1"/>
    </row>
    <row r="2702" spans="16:16">
      <c r="P2702" s="1"/>
    </row>
    <row r="2703" spans="16:16">
      <c r="P2703" s="1"/>
    </row>
    <row r="2704" spans="16:16">
      <c r="P2704" s="1"/>
    </row>
    <row r="2705" spans="16:16">
      <c r="P2705" s="1"/>
    </row>
    <row r="2706" spans="16:16">
      <c r="P2706" s="1"/>
    </row>
    <row r="2707" spans="16:16">
      <c r="P2707" s="1"/>
    </row>
    <row r="2708" spans="16:16">
      <c r="P2708" s="1"/>
    </row>
    <row r="2709" spans="16:16">
      <c r="P2709" s="1"/>
    </row>
    <row r="2710" spans="16:16">
      <c r="P2710" s="1"/>
    </row>
    <row r="2711" spans="16:16">
      <c r="P2711" s="1"/>
    </row>
    <row r="2712" spans="16:16">
      <c r="P2712" s="1"/>
    </row>
    <row r="2713" spans="16:16">
      <c r="P2713" s="1"/>
    </row>
    <row r="2714" spans="16:16">
      <c r="P2714" s="1"/>
    </row>
    <row r="2715" spans="16:16">
      <c r="P2715" s="1"/>
    </row>
    <row r="2716" spans="16:16">
      <c r="P2716" s="1"/>
    </row>
    <row r="2717" spans="16:16">
      <c r="P2717" s="1"/>
    </row>
    <row r="2718" spans="16:16">
      <c r="P2718" s="1"/>
    </row>
    <row r="2719" spans="16:16">
      <c r="P2719" s="1"/>
    </row>
    <row r="2720" spans="16:16">
      <c r="P2720" s="1"/>
    </row>
    <row r="2721" spans="16:16">
      <c r="P2721" s="1"/>
    </row>
    <row r="2722" spans="16:16">
      <c r="P2722" s="1"/>
    </row>
    <row r="2723" spans="16:16">
      <c r="P2723" s="1"/>
    </row>
    <row r="2724" spans="16:16">
      <c r="P2724" s="1"/>
    </row>
    <row r="2725" spans="16:16">
      <c r="P2725" s="1"/>
    </row>
    <row r="2726" spans="16:16">
      <c r="P2726" s="1"/>
    </row>
    <row r="2727" spans="16:16">
      <c r="P2727" s="1"/>
    </row>
    <row r="2728" spans="16:16">
      <c r="P2728" s="1"/>
    </row>
    <row r="2729" spans="16:16">
      <c r="P2729" s="1"/>
    </row>
    <row r="2730" spans="16:16">
      <c r="P2730" s="1"/>
    </row>
    <row r="2731" spans="16:16">
      <c r="P2731" s="1"/>
    </row>
    <row r="2732" spans="16:16">
      <c r="P2732" s="1"/>
    </row>
    <row r="2733" spans="16:16">
      <c r="P2733" s="1"/>
    </row>
    <row r="2734" spans="16:16">
      <c r="P2734" s="1"/>
    </row>
    <row r="2735" spans="16:16">
      <c r="P2735" s="1"/>
    </row>
    <row r="2736" spans="16:16">
      <c r="P2736" s="1"/>
    </row>
    <row r="2737" spans="16:16">
      <c r="P2737" s="1"/>
    </row>
    <row r="2738" spans="16:16">
      <c r="P2738" s="1"/>
    </row>
    <row r="2739" spans="16:16">
      <c r="P2739" s="1"/>
    </row>
    <row r="2740" spans="16:16">
      <c r="P2740" s="1"/>
    </row>
    <row r="2741" spans="16:16">
      <c r="P2741" s="1"/>
    </row>
    <row r="2742" spans="16:16">
      <c r="P2742" s="1"/>
    </row>
    <row r="2743" spans="16:16">
      <c r="P2743" s="1"/>
    </row>
    <row r="2744" spans="16:16">
      <c r="P2744" s="1"/>
    </row>
    <row r="2745" spans="16:16">
      <c r="P2745" s="1"/>
    </row>
    <row r="2746" spans="16:16">
      <c r="P2746" s="1"/>
    </row>
    <row r="2747" spans="16:16">
      <c r="P2747" s="1"/>
    </row>
    <row r="2748" spans="16:16">
      <c r="P2748" s="1"/>
    </row>
    <row r="2749" spans="16:16">
      <c r="P2749" s="1"/>
    </row>
    <row r="2750" spans="16:16">
      <c r="P2750" s="1"/>
    </row>
    <row r="2751" spans="16:16">
      <c r="P2751" s="1"/>
    </row>
    <row r="2752" spans="16:16">
      <c r="P2752" s="1"/>
    </row>
    <row r="2753" spans="16:16">
      <c r="P2753" s="1"/>
    </row>
    <row r="2754" spans="16:16">
      <c r="P2754" s="1"/>
    </row>
    <row r="2755" spans="16:16">
      <c r="P2755" s="1"/>
    </row>
    <row r="2756" spans="16:16">
      <c r="P2756" s="1"/>
    </row>
    <row r="2757" spans="16:16">
      <c r="P2757" s="1"/>
    </row>
    <row r="2758" spans="16:16">
      <c r="P2758" s="1"/>
    </row>
    <row r="2759" spans="16:16">
      <c r="P2759" s="1"/>
    </row>
    <row r="2760" spans="16:16">
      <c r="P2760" s="1"/>
    </row>
    <row r="2761" spans="16:16">
      <c r="P2761" s="1"/>
    </row>
    <row r="2762" spans="16:16">
      <c r="P2762" s="1"/>
    </row>
    <row r="2763" spans="16:16">
      <c r="P2763" s="1"/>
    </row>
    <row r="2764" spans="16:16">
      <c r="P2764" s="1"/>
    </row>
    <row r="2765" spans="16:16">
      <c r="P2765" s="1"/>
    </row>
    <row r="2766" spans="16:16">
      <c r="P2766" s="1"/>
    </row>
    <row r="2767" spans="16:16">
      <c r="P2767" s="1"/>
    </row>
    <row r="2768" spans="16:16">
      <c r="P2768" s="1"/>
    </row>
    <row r="2769" spans="16:16">
      <c r="P2769" s="1"/>
    </row>
    <row r="2770" spans="16:16">
      <c r="P2770" s="1"/>
    </row>
    <row r="2771" spans="16:16">
      <c r="P2771" s="1"/>
    </row>
    <row r="2772" spans="16:16">
      <c r="P2772" s="1"/>
    </row>
    <row r="2773" spans="16:16">
      <c r="P2773" s="1"/>
    </row>
    <row r="2774" spans="16:16">
      <c r="P2774" s="1"/>
    </row>
    <row r="2775" spans="16:16">
      <c r="P2775" s="1"/>
    </row>
    <row r="2776" spans="16:16">
      <c r="P2776" s="1"/>
    </row>
    <row r="2777" spans="16:16">
      <c r="P2777" s="1"/>
    </row>
    <row r="2778" spans="16:16">
      <c r="P2778" s="1"/>
    </row>
    <row r="2779" spans="16:16">
      <c r="P2779" s="1"/>
    </row>
    <row r="2780" spans="16:16">
      <c r="P2780" s="1"/>
    </row>
    <row r="2781" spans="16:16">
      <c r="P2781" s="1"/>
    </row>
    <row r="2782" spans="16:16">
      <c r="P2782" s="1"/>
    </row>
    <row r="2783" spans="16:16">
      <c r="P2783" s="1"/>
    </row>
    <row r="2784" spans="16:16">
      <c r="P2784" s="1"/>
    </row>
    <row r="2785" spans="16:16">
      <c r="P2785" s="1"/>
    </row>
    <row r="2786" spans="16:16">
      <c r="P2786" s="1"/>
    </row>
    <row r="2787" spans="16:16">
      <c r="P2787" s="1"/>
    </row>
    <row r="2788" spans="16:16">
      <c r="P2788" s="1"/>
    </row>
    <row r="2789" spans="16:16">
      <c r="P2789" s="1"/>
    </row>
    <row r="2790" spans="16:16">
      <c r="P2790" s="1"/>
    </row>
    <row r="2791" spans="16:16">
      <c r="P2791" s="1"/>
    </row>
    <row r="2792" spans="16:16">
      <c r="P2792" s="1"/>
    </row>
    <row r="2793" spans="16:16">
      <c r="P2793" s="1"/>
    </row>
    <row r="2794" spans="16:16">
      <c r="P2794" s="1"/>
    </row>
    <row r="2795" spans="16:16">
      <c r="P2795" s="1"/>
    </row>
    <row r="2796" spans="16:16">
      <c r="P2796" s="1"/>
    </row>
    <row r="2797" spans="16:16">
      <c r="P2797" s="1"/>
    </row>
    <row r="2798" spans="16:16">
      <c r="P2798" s="1"/>
    </row>
    <row r="2799" spans="16:16">
      <c r="P2799" s="1"/>
    </row>
    <row r="2800" spans="16:16">
      <c r="P2800" s="1"/>
    </row>
    <row r="2801" spans="16:16">
      <c r="P2801" s="1"/>
    </row>
    <row r="2802" spans="16:16">
      <c r="P2802" s="1"/>
    </row>
    <row r="2803" spans="16:16">
      <c r="P2803" s="1"/>
    </row>
    <row r="2804" spans="16:16">
      <c r="P2804" s="1"/>
    </row>
    <row r="2805" spans="16:16">
      <c r="P2805" s="1"/>
    </row>
    <row r="2806" spans="16:16">
      <c r="P2806" s="1"/>
    </row>
    <row r="2807" spans="16:16">
      <c r="P2807" s="1"/>
    </row>
    <row r="2808" spans="16:16">
      <c r="P2808" s="1"/>
    </row>
    <row r="2809" spans="16:16">
      <c r="P2809" s="1"/>
    </row>
    <row r="2810" spans="16:16">
      <c r="P2810" s="1"/>
    </row>
    <row r="2811" spans="16:16">
      <c r="P2811" s="1"/>
    </row>
    <row r="2812" spans="16:16">
      <c r="P2812" s="1"/>
    </row>
    <row r="2813" spans="16:16">
      <c r="P2813" s="1"/>
    </row>
    <row r="2814" spans="16:16">
      <c r="P2814" s="1"/>
    </row>
    <row r="2815" spans="16:16">
      <c r="P2815" s="1"/>
    </row>
    <row r="2816" spans="16:16">
      <c r="P2816" s="1"/>
    </row>
    <row r="2817" spans="16:16">
      <c r="P2817" s="1"/>
    </row>
    <row r="2818" spans="16:16">
      <c r="P2818" s="1"/>
    </row>
    <row r="2819" spans="16:16">
      <c r="P2819" s="1"/>
    </row>
    <row r="2820" spans="16:16">
      <c r="P2820" s="1"/>
    </row>
    <row r="2821" spans="16:16">
      <c r="P2821" s="1"/>
    </row>
    <row r="2822" spans="16:16">
      <c r="P2822" s="1"/>
    </row>
    <row r="2823" spans="16:16">
      <c r="P2823" s="1"/>
    </row>
    <row r="2824" spans="16:16">
      <c r="P2824" s="1"/>
    </row>
    <row r="2825" spans="16:16">
      <c r="P2825" s="1"/>
    </row>
    <row r="2826" spans="16:16">
      <c r="P2826" s="1"/>
    </row>
    <row r="2827" spans="16:16">
      <c r="P2827" s="1"/>
    </row>
    <row r="2828" spans="16:16">
      <c r="P2828" s="1"/>
    </row>
    <row r="2829" spans="16:16">
      <c r="P2829" s="1"/>
    </row>
    <row r="2830" spans="16:16">
      <c r="P2830" s="1"/>
    </row>
    <row r="2831" spans="16:16">
      <c r="P2831" s="1"/>
    </row>
    <row r="2832" spans="16:16">
      <c r="P2832" s="1"/>
    </row>
    <row r="2833" spans="16:16">
      <c r="P2833" s="1"/>
    </row>
    <row r="2834" spans="16:16">
      <c r="P2834" s="1"/>
    </row>
    <row r="2835" spans="16:16">
      <c r="P2835" s="1"/>
    </row>
    <row r="2836" spans="16:16">
      <c r="P2836" s="1"/>
    </row>
    <row r="2837" spans="16:16">
      <c r="P2837" s="1"/>
    </row>
    <row r="2838" spans="16:16">
      <c r="P2838" s="1"/>
    </row>
    <row r="2839" spans="16:16">
      <c r="P2839" s="1"/>
    </row>
    <row r="2840" spans="16:16">
      <c r="P2840" s="1"/>
    </row>
    <row r="2841" spans="16:16">
      <c r="P2841" s="1"/>
    </row>
    <row r="2842" spans="16:16">
      <c r="P2842" s="1"/>
    </row>
    <row r="2843" spans="16:16">
      <c r="P2843" s="1"/>
    </row>
    <row r="2844" spans="16:16">
      <c r="P2844" s="1"/>
    </row>
    <row r="2845" spans="16:16">
      <c r="P2845" s="1"/>
    </row>
    <row r="2846" spans="16:16">
      <c r="P2846" s="1"/>
    </row>
    <row r="2847" spans="16:16">
      <c r="P2847" s="1"/>
    </row>
    <row r="2848" spans="16:16">
      <c r="P2848" s="1"/>
    </row>
    <row r="2849" spans="16:16">
      <c r="P2849" s="1"/>
    </row>
    <row r="2850" spans="16:16">
      <c r="P2850" s="1"/>
    </row>
    <row r="2851" spans="16:16">
      <c r="P2851" s="1"/>
    </row>
    <row r="2852" spans="16:16">
      <c r="P2852" s="1"/>
    </row>
    <row r="2853" spans="16:16">
      <c r="P2853" s="1"/>
    </row>
    <row r="2854" spans="16:16">
      <c r="P2854" s="1"/>
    </row>
    <row r="2855" spans="16:16">
      <c r="P2855" s="1"/>
    </row>
    <row r="2856" spans="16:16">
      <c r="P2856" s="1"/>
    </row>
    <row r="2857" spans="16:16">
      <c r="P2857" s="1"/>
    </row>
    <row r="2858" spans="16:16">
      <c r="P2858" s="1"/>
    </row>
    <row r="2859" spans="16:16">
      <c r="P2859" s="1"/>
    </row>
    <row r="2860" spans="16:16">
      <c r="P2860" s="1"/>
    </row>
    <row r="2861" spans="16:16">
      <c r="P2861" s="1"/>
    </row>
    <row r="2862" spans="16:16">
      <c r="P2862" s="1"/>
    </row>
    <row r="2863" spans="16:16">
      <c r="P2863" s="1"/>
    </row>
    <row r="2864" spans="16:16">
      <c r="P2864" s="1"/>
    </row>
    <row r="2865" spans="16:16">
      <c r="P2865" s="1"/>
    </row>
    <row r="2866" spans="16:16">
      <c r="P2866" s="1"/>
    </row>
    <row r="2867" spans="16:16">
      <c r="P2867" s="1"/>
    </row>
    <row r="2868" spans="16:16">
      <c r="P2868" s="1"/>
    </row>
    <row r="2869" spans="16:16">
      <c r="P2869" s="1"/>
    </row>
    <row r="2870" spans="16:16">
      <c r="P2870" s="1"/>
    </row>
    <row r="2871" spans="16:16">
      <c r="P2871" s="1"/>
    </row>
    <row r="2872" spans="16:16">
      <c r="P2872" s="1"/>
    </row>
    <row r="2873" spans="16:16">
      <c r="P2873" s="1"/>
    </row>
    <row r="2874" spans="16:16">
      <c r="P2874" s="1"/>
    </row>
    <row r="2875" spans="16:16">
      <c r="P2875" s="1"/>
    </row>
    <row r="2876" spans="16:16">
      <c r="P2876" s="1"/>
    </row>
    <row r="2877" spans="16:16">
      <c r="P2877" s="1"/>
    </row>
    <row r="2878" spans="16:16">
      <c r="P2878" s="1"/>
    </row>
    <row r="2879" spans="16:16">
      <c r="P2879" s="1"/>
    </row>
    <row r="2880" spans="16:16">
      <c r="P2880" s="1"/>
    </row>
    <row r="2881" spans="16:16">
      <c r="P2881" s="1"/>
    </row>
    <row r="2882" spans="16:16">
      <c r="P2882" s="1"/>
    </row>
    <row r="2883" spans="16:16">
      <c r="P2883" s="1"/>
    </row>
    <row r="2884" spans="16:16">
      <c r="P2884" s="1"/>
    </row>
    <row r="2885" spans="16:16">
      <c r="P2885" s="1"/>
    </row>
    <row r="2886" spans="16:16">
      <c r="P2886" s="1"/>
    </row>
    <row r="2887" spans="16:16">
      <c r="P2887" s="1"/>
    </row>
    <row r="2888" spans="16:16">
      <c r="P2888" s="1"/>
    </row>
    <row r="2889" spans="16:16">
      <c r="P2889" s="1"/>
    </row>
    <row r="2890" spans="16:16">
      <c r="P2890" s="1"/>
    </row>
    <row r="2891" spans="16:16">
      <c r="P2891" s="1"/>
    </row>
    <row r="2892" spans="16:16">
      <c r="P2892" s="1"/>
    </row>
    <row r="2893" spans="16:16">
      <c r="P2893" s="1"/>
    </row>
    <row r="2894" spans="16:16">
      <c r="P2894" s="1"/>
    </row>
    <row r="2895" spans="16:16">
      <c r="P2895" s="1"/>
    </row>
    <row r="2896" spans="16:16">
      <c r="P2896" s="1"/>
    </row>
    <row r="2897" spans="16:16">
      <c r="P2897" s="1"/>
    </row>
    <row r="2898" spans="16:16">
      <c r="P2898" s="1"/>
    </row>
    <row r="2899" spans="16:16">
      <c r="P2899" s="1"/>
    </row>
    <row r="2900" spans="16:16">
      <c r="P2900" s="1"/>
    </row>
    <row r="2901" spans="16:16">
      <c r="P2901" s="1"/>
    </row>
    <row r="2902" spans="16:16">
      <c r="P2902" s="1"/>
    </row>
    <row r="2903" spans="16:16">
      <c r="P2903" s="1"/>
    </row>
    <row r="2904" spans="16:16">
      <c r="P2904" s="1"/>
    </row>
    <row r="2905" spans="16:16">
      <c r="P2905" s="1"/>
    </row>
    <row r="2906" spans="16:16">
      <c r="P2906" s="1"/>
    </row>
    <row r="2907" spans="16:16">
      <c r="P2907" s="1"/>
    </row>
    <row r="2908" spans="16:16">
      <c r="P2908" s="1"/>
    </row>
    <row r="2909" spans="16:16">
      <c r="P2909" s="1"/>
    </row>
    <row r="2910" spans="16:16">
      <c r="P2910" s="1"/>
    </row>
    <row r="2911" spans="16:16">
      <c r="P2911" s="1"/>
    </row>
    <row r="2912" spans="16:16">
      <c r="P2912" s="1"/>
    </row>
    <row r="2913" spans="16:16">
      <c r="P2913" s="1"/>
    </row>
    <row r="2914" spans="16:16">
      <c r="P2914" s="1"/>
    </row>
    <row r="2915" spans="16:16">
      <c r="P2915" s="1"/>
    </row>
    <row r="2916" spans="16:16">
      <c r="P2916" s="1"/>
    </row>
    <row r="2917" spans="16:16">
      <c r="P2917" s="1"/>
    </row>
    <row r="2918" spans="16:16">
      <c r="P2918" s="1"/>
    </row>
    <row r="2919" spans="16:16">
      <c r="P2919" s="1"/>
    </row>
    <row r="2920" spans="16:16">
      <c r="P2920" s="1"/>
    </row>
    <row r="2921" spans="16:16">
      <c r="P2921" s="1"/>
    </row>
    <row r="2922" spans="16:16">
      <c r="P2922" s="1"/>
    </row>
    <row r="2923" spans="16:16">
      <c r="P2923" s="1"/>
    </row>
    <row r="2924" spans="16:16">
      <c r="P2924" s="1"/>
    </row>
    <row r="2925" spans="16:16">
      <c r="P2925" s="1"/>
    </row>
    <row r="2926" spans="16:16">
      <c r="P2926" s="1"/>
    </row>
    <row r="2927" spans="16:16">
      <c r="P2927" s="1"/>
    </row>
    <row r="2928" spans="16:16">
      <c r="P2928" s="1"/>
    </row>
    <row r="2929" spans="16:16">
      <c r="P2929" s="1"/>
    </row>
    <row r="2930" spans="16:16">
      <c r="P2930" s="1"/>
    </row>
    <row r="2931" spans="16:16">
      <c r="P2931" s="1"/>
    </row>
    <row r="2932" spans="16:16">
      <c r="P2932" s="1"/>
    </row>
    <row r="2933" spans="16:16">
      <c r="P2933" s="1"/>
    </row>
    <row r="2934" spans="16:16">
      <c r="P2934" s="1"/>
    </row>
    <row r="2935" spans="16:16">
      <c r="P2935" s="1"/>
    </row>
    <row r="2936" spans="16:16">
      <c r="P2936" s="1"/>
    </row>
    <row r="2937" spans="16:16">
      <c r="P2937" s="1"/>
    </row>
    <row r="2938" spans="16:16">
      <c r="P2938" s="1"/>
    </row>
    <row r="2939" spans="16:16">
      <c r="P2939" s="1"/>
    </row>
    <row r="2940" spans="16:16">
      <c r="P2940" s="1"/>
    </row>
    <row r="2941" spans="16:16">
      <c r="P2941" s="1"/>
    </row>
    <row r="2942" spans="16:16">
      <c r="P2942" s="1"/>
    </row>
    <row r="2943" spans="16:16">
      <c r="P2943" s="1"/>
    </row>
    <row r="2944" spans="16:16">
      <c r="P2944" s="1"/>
    </row>
    <row r="2945" spans="16:16">
      <c r="P2945" s="1"/>
    </row>
    <row r="2946" spans="16:16">
      <c r="P2946" s="1"/>
    </row>
    <row r="2947" spans="16:16">
      <c r="P2947" s="1"/>
    </row>
    <row r="2948" spans="16:16">
      <c r="P2948" s="1"/>
    </row>
    <row r="2949" spans="16:16">
      <c r="P2949" s="1"/>
    </row>
  </sheetData>
  <mergeCells count="1">
    <mergeCell ref="A74:Y74"/>
  </mergeCells>
  <phoneticPr fontId="0" type="noConversion"/>
  <printOptions horizontalCentered="1"/>
  <pageMargins left="0.45" right="0.45" top="0.25" bottom="0.5" header="0.3" footer="0.3"/>
  <pageSetup scale="97" orientation="portrait" r:id="rId1"/>
  <headerFooter alignWithMargins="0"/>
  <rowBreaks count="4" manualBreakCount="4">
    <brk id="74" max="44" man="1"/>
    <brk id="122" max="24" man="1"/>
    <brk id="214" max="24" man="1"/>
    <brk id="262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showGridLines="0" view="pageBreakPreview" topLeftCell="A4" zoomScale="130" zoomScaleNormal="100" zoomScaleSheetLayoutView="130" workbookViewId="0">
      <selection activeCell="H15" sqref="H15"/>
    </sheetView>
  </sheetViews>
  <sheetFormatPr defaultColWidth="11.42578125" defaultRowHeight="12.75"/>
  <cols>
    <col min="1" max="1" width="35.28515625" style="119" bestFit="1" customWidth="1"/>
    <col min="2" max="2" width="8.85546875" style="119" bestFit="1" customWidth="1"/>
    <col min="3" max="3" width="6.85546875" style="119" customWidth="1"/>
    <col min="4" max="4" width="4.140625" style="119" customWidth="1"/>
    <col min="5" max="7" width="6.85546875" style="119" customWidth="1"/>
    <col min="8" max="8" width="8.42578125" bestFit="1" customWidth="1"/>
    <col min="9" max="9" width="5.140625" bestFit="1" customWidth="1"/>
    <col min="10" max="10" width="9.140625" customWidth="1"/>
  </cols>
  <sheetData>
    <row r="1" spans="1:7" s="51" customFormat="1" ht="10.5" customHeight="1">
      <c r="A1" s="119"/>
      <c r="B1" s="119"/>
      <c r="C1" s="119"/>
      <c r="D1" s="119"/>
      <c r="E1" s="119"/>
      <c r="F1" s="119"/>
      <c r="G1" s="119"/>
    </row>
    <row r="2" spans="1:7" s="51" customFormat="1" ht="10.5" customHeight="1">
      <c r="A2" s="119"/>
      <c r="B2" s="119"/>
      <c r="C2" s="119"/>
      <c r="D2" s="119"/>
      <c r="E2" s="119"/>
      <c r="F2" s="119"/>
      <c r="G2" s="119"/>
    </row>
    <row r="3" spans="1:7" s="72" customFormat="1" ht="9.75" customHeight="1">
      <c r="A3" s="119"/>
      <c r="B3" s="119"/>
      <c r="C3" s="119"/>
      <c r="D3" s="119"/>
      <c r="E3" s="119"/>
      <c r="F3" s="119"/>
      <c r="G3"/>
    </row>
    <row r="4" spans="1:7" s="92" customFormat="1" ht="18.75" customHeight="1">
      <c r="A4" s="124" t="s">
        <v>82</v>
      </c>
      <c r="B4" s="123" t="s">
        <v>117</v>
      </c>
      <c r="C4"/>
      <c r="D4"/>
      <c r="E4"/>
      <c r="F4"/>
      <c r="G4"/>
    </row>
    <row r="5" spans="1:7" s="51" customFormat="1" ht="10.5" customHeight="1">
      <c r="A5" s="51" t="s">
        <v>95</v>
      </c>
      <c r="B5" s="113">
        <v>475623</v>
      </c>
      <c r="C5" s="153">
        <f>B5/$B$13</f>
        <v>0.47366251086751932</v>
      </c>
      <c r="D5"/>
      <c r="E5"/>
      <c r="F5"/>
      <c r="G5"/>
    </row>
    <row r="6" spans="1:7" s="51" customFormat="1" ht="10.5" customHeight="1">
      <c r="A6" s="86" t="s">
        <v>93</v>
      </c>
      <c r="B6" s="109">
        <v>137123</v>
      </c>
      <c r="C6" s="153">
        <f t="shared" ref="C6:C13" si="0">B6/$B$13</f>
        <v>0.1365577873182896</v>
      </c>
      <c r="D6"/>
      <c r="E6"/>
      <c r="F6"/>
      <c r="G6"/>
    </row>
    <row r="7" spans="1:7" s="51" customFormat="1" ht="10.5" customHeight="1">
      <c r="A7" s="51" t="s">
        <v>94</v>
      </c>
      <c r="B7" s="113">
        <v>112175</v>
      </c>
      <c r="C7" s="153">
        <f t="shared" si="0"/>
        <v>0.11171262145977798</v>
      </c>
      <c r="D7"/>
      <c r="E7"/>
      <c r="F7"/>
      <c r="G7"/>
    </row>
    <row r="8" spans="1:7" s="51" customFormat="1" ht="10.5" customHeight="1">
      <c r="A8" s="86" t="s">
        <v>90</v>
      </c>
      <c r="B8" s="109">
        <v>110962</v>
      </c>
      <c r="C8" s="153">
        <f t="shared" si="0"/>
        <v>0.1105046213721407</v>
      </c>
      <c r="D8"/>
      <c r="E8"/>
      <c r="F8"/>
      <c r="G8"/>
    </row>
    <row r="9" spans="1:7" s="51" customFormat="1" ht="10.5" customHeight="1">
      <c r="A9" s="51" t="s">
        <v>91</v>
      </c>
      <c r="B9" s="113">
        <v>86430</v>
      </c>
      <c r="C9" s="153">
        <f t="shared" si="0"/>
        <v>8.6073740786883096E-2</v>
      </c>
      <c r="D9"/>
      <c r="E9"/>
      <c r="F9"/>
      <c r="G9"/>
    </row>
    <row r="10" spans="1:7" s="51" customFormat="1" ht="10.5" customHeight="1">
      <c r="A10" s="86" t="s">
        <v>92</v>
      </c>
      <c r="B10" s="109">
        <v>46005</v>
      </c>
      <c r="C10" s="154">
        <f>B10/$B$13</f>
        <v>4.5815370182813335E-2</v>
      </c>
      <c r="D10" s="153">
        <v>0.04</v>
      </c>
      <c r="E10"/>
      <c r="F10"/>
      <c r="G10"/>
    </row>
    <row r="11" spans="1:7" s="52" customFormat="1">
      <c r="A11" s="127" t="s">
        <v>96</v>
      </c>
      <c r="B11" s="128">
        <v>27088</v>
      </c>
      <c r="C11" s="153">
        <f t="shared" si="0"/>
        <v>2.6976344908424033E-2</v>
      </c>
      <c r="D11"/>
      <c r="E11"/>
      <c r="F11"/>
      <c r="G11"/>
    </row>
    <row r="12" spans="1:7" s="52" customFormat="1">
      <c r="A12" s="105" t="s">
        <v>97</v>
      </c>
      <c r="B12" s="116">
        <v>8733</v>
      </c>
      <c r="C12" s="153">
        <f t="shared" si="0"/>
        <v>8.6970031041519145E-3</v>
      </c>
      <c r="D12"/>
      <c r="E12"/>
      <c r="F12"/>
      <c r="G12"/>
    </row>
    <row r="13" spans="1:7" s="52" customFormat="1">
      <c r="A13" s="48" t="s">
        <v>98</v>
      </c>
      <c r="B13" s="117">
        <v>1004139</v>
      </c>
      <c r="C13" s="153">
        <f t="shared" si="0"/>
        <v>1</v>
      </c>
      <c r="D13"/>
      <c r="E13"/>
      <c r="F13"/>
      <c r="G13"/>
    </row>
    <row r="14" spans="1:7" s="52" customFormat="1">
      <c r="A14" s="118"/>
      <c r="B14" s="118"/>
      <c r="C14" s="118">
        <f>47+14+11+11+9+5+3+1</f>
        <v>101</v>
      </c>
      <c r="D14"/>
      <c r="E14"/>
      <c r="F14"/>
      <c r="G14"/>
    </row>
    <row r="15" spans="1:7" s="52" customFormat="1">
      <c r="A15" s="119"/>
      <c r="B15" s="119"/>
      <c r="C15" s="119"/>
      <c r="D15" s="119"/>
      <c r="E15"/>
      <c r="F15"/>
      <c r="G15"/>
    </row>
    <row r="16" spans="1:7" s="92" customFormat="1" ht="10.5" customHeight="1">
      <c r="A16" s="119"/>
      <c r="B16" s="134"/>
      <c r="C16" s="119"/>
      <c r="D16" s="119"/>
      <c r="E16" s="119"/>
      <c r="F16" s="119"/>
      <c r="G16" s="119"/>
    </row>
    <row r="17" spans="1:7" s="92" customFormat="1" ht="10.9" customHeight="1">
      <c r="A17" s="119"/>
      <c r="B17" s="119"/>
      <c r="C17" s="119"/>
      <c r="D17" s="119"/>
      <c r="E17" s="119"/>
      <c r="F17" s="119"/>
      <c r="G17" s="119"/>
    </row>
    <row r="18" spans="1:7" s="51" customFormat="1" ht="10.5" customHeight="1">
      <c r="A18" s="119"/>
      <c r="B18" s="119"/>
      <c r="C18" s="119"/>
      <c r="D18" s="119"/>
      <c r="E18" s="119"/>
      <c r="F18" s="119"/>
      <c r="G18" s="119"/>
    </row>
    <row r="19" spans="1:7" s="51" customFormat="1" ht="10.5" customHeight="1">
      <c r="A19" s="119"/>
      <c r="B19" s="119"/>
      <c r="C19" s="119"/>
      <c r="D19" s="119"/>
      <c r="E19" s="119"/>
      <c r="F19" s="119"/>
      <c r="G19" s="119"/>
    </row>
    <row r="20" spans="1:7" s="52" customFormat="1" ht="12" hidden="1">
      <c r="A20" s="119"/>
      <c r="B20" s="119"/>
      <c r="C20" s="119"/>
      <c r="D20" s="119"/>
      <c r="E20" s="119"/>
      <c r="F20" s="119"/>
      <c r="G20" s="119"/>
    </row>
    <row r="21" spans="1:7" s="52" customFormat="1" ht="12" hidden="1">
      <c r="A21" s="119"/>
      <c r="B21" s="119"/>
      <c r="C21" s="119"/>
      <c r="D21" s="119"/>
      <c r="E21" s="119"/>
      <c r="F21" s="119"/>
      <c r="G21" s="119"/>
    </row>
    <row r="22" spans="1:7" s="52" customFormat="1" ht="12" hidden="1">
      <c r="A22" s="119"/>
      <c r="B22" s="119"/>
      <c r="C22" s="119"/>
      <c r="D22" s="119"/>
      <c r="E22" s="119"/>
      <c r="F22" s="119"/>
      <c r="G22" s="119"/>
    </row>
    <row r="23" spans="1:7" s="52" customFormat="1" ht="12" hidden="1">
      <c r="A23" s="119"/>
      <c r="B23" s="119"/>
      <c r="C23" s="119"/>
      <c r="D23" s="119"/>
      <c r="E23" s="119"/>
      <c r="F23" s="119"/>
      <c r="G23" s="119"/>
    </row>
    <row r="24" spans="1:7" s="52" customFormat="1" ht="12" hidden="1">
      <c r="A24" s="119"/>
      <c r="B24" s="119"/>
      <c r="C24" s="119"/>
      <c r="D24" s="119"/>
      <c r="E24" s="119"/>
      <c r="F24" s="119"/>
      <c r="G24" s="119"/>
    </row>
    <row r="25" spans="1:7" s="72" customFormat="1" ht="14.25" customHeight="1">
      <c r="A25" s="119"/>
      <c r="B25" s="119"/>
      <c r="C25" s="119"/>
      <c r="D25" s="119"/>
      <c r="E25" s="119"/>
      <c r="F25" s="119"/>
      <c r="G25" s="119"/>
    </row>
    <row r="26" spans="1:7" s="51" customFormat="1" ht="10.5" customHeight="1">
      <c r="A26" s="119"/>
      <c r="B26" s="119"/>
      <c r="C26" s="119"/>
      <c r="D26" s="119"/>
      <c r="E26" s="119"/>
      <c r="F26" s="119"/>
      <c r="G26" s="119"/>
    </row>
    <row r="27" spans="1:7" s="51" customFormat="1" ht="9.75" customHeight="1">
      <c r="A27" s="119"/>
      <c r="B27" s="119"/>
      <c r="C27" s="119"/>
      <c r="D27" s="119"/>
      <c r="E27" s="119"/>
      <c r="F27" s="119"/>
      <c r="G27" s="119"/>
    </row>
    <row r="28" spans="1:7" s="51" customFormat="1" ht="9.75" customHeight="1">
      <c r="A28" s="119"/>
      <c r="B28" s="119"/>
      <c r="C28" s="119"/>
      <c r="D28" s="119"/>
      <c r="E28" s="119"/>
      <c r="F28" s="119"/>
      <c r="G28" s="119"/>
    </row>
    <row r="29" spans="1:7" s="72" customFormat="1" ht="14.25" customHeight="1">
      <c r="A29" s="119"/>
      <c r="B29" s="119"/>
      <c r="C29" s="119"/>
      <c r="D29" s="119"/>
      <c r="E29" s="119"/>
      <c r="F29" s="119"/>
      <c r="G29" s="119"/>
    </row>
    <row r="30" spans="1:7" s="92" customFormat="1" ht="10.5" customHeight="1">
      <c r="A30" s="119"/>
      <c r="B30" s="119"/>
      <c r="C30" s="119"/>
      <c r="D30" s="119"/>
      <c r="E30" s="119"/>
      <c r="F30" s="119"/>
      <c r="G30" s="119"/>
    </row>
    <row r="31" spans="1:7" s="92" customFormat="1" ht="10.9" customHeight="1">
      <c r="A31" s="119"/>
      <c r="B31" s="119"/>
      <c r="C31" s="119"/>
      <c r="D31" s="119"/>
      <c r="E31" s="119"/>
      <c r="F31" s="119"/>
      <c r="G31" s="119"/>
    </row>
    <row r="32" spans="1:7" s="51" customFormat="1" ht="10.5" customHeight="1">
      <c r="A32" s="119"/>
      <c r="B32" s="119"/>
      <c r="C32" s="119"/>
      <c r="D32" s="119"/>
      <c r="E32" s="119"/>
      <c r="F32" s="119"/>
      <c r="G32" s="119"/>
    </row>
    <row r="33" spans="1:8" s="51" customFormat="1" ht="10.5" customHeight="1">
      <c r="A33" s="119"/>
      <c r="B33" s="119"/>
      <c r="C33" s="119"/>
      <c r="D33" s="119"/>
      <c r="E33" s="119"/>
      <c r="F33" s="119"/>
      <c r="G33" s="119"/>
    </row>
    <row r="34" spans="1:8" s="72" customFormat="1" ht="14.25" customHeight="1">
      <c r="A34" s="119"/>
      <c r="B34" s="119"/>
      <c r="C34" s="119"/>
      <c r="D34" s="119"/>
      <c r="E34" s="119"/>
      <c r="F34" s="119"/>
      <c r="G34" s="119"/>
    </row>
    <row r="35" spans="1:8" s="51" customFormat="1" ht="10.5" customHeight="1">
      <c r="A35" s="119"/>
      <c r="B35" s="119"/>
      <c r="C35" s="119"/>
      <c r="D35" s="119"/>
      <c r="E35" s="119"/>
      <c r="F35" s="119"/>
      <c r="G35" s="119"/>
    </row>
    <row r="36" spans="1:8" s="51" customFormat="1" ht="10.5" customHeight="1">
      <c r="A36" s="119"/>
      <c r="B36" s="119"/>
      <c r="C36" s="119"/>
      <c r="D36" s="119"/>
      <c r="E36" s="119"/>
      <c r="F36" s="119"/>
      <c r="G36" s="119"/>
    </row>
    <row r="37" spans="1:8" s="51" customFormat="1" ht="10.5" customHeight="1">
      <c r="A37" s="119"/>
      <c r="B37" s="119"/>
      <c r="C37" s="119"/>
      <c r="D37" s="119"/>
      <c r="E37" s="119"/>
      <c r="F37" s="119"/>
      <c r="G37" s="119"/>
    </row>
    <row r="38" spans="1:8" s="51" customFormat="1" ht="10.5" customHeight="1">
      <c r="A38" s="119"/>
      <c r="B38" s="119"/>
      <c r="C38" s="119"/>
      <c r="D38" s="119"/>
      <c r="E38" s="119"/>
      <c r="F38" s="119"/>
      <c r="G38" s="119"/>
    </row>
    <row r="39" spans="1:8" s="72" customFormat="1" ht="14.25" customHeight="1">
      <c r="A39" s="119"/>
      <c r="B39" s="119"/>
      <c r="C39" s="119"/>
      <c r="D39" s="119"/>
      <c r="E39" s="119"/>
      <c r="F39" s="119"/>
      <c r="G39" s="119"/>
    </row>
    <row r="40" spans="1:8" s="92" customFormat="1" ht="10.5" customHeight="1">
      <c r="A40" s="119"/>
      <c r="B40" s="119"/>
      <c r="C40" s="119"/>
      <c r="D40" s="119"/>
      <c r="E40" s="119"/>
      <c r="F40" s="119"/>
      <c r="G40" s="119"/>
    </row>
    <row r="41" spans="1:8" s="92" customFormat="1" ht="10.5" customHeight="1">
      <c r="A41" s="119"/>
      <c r="B41" s="119"/>
      <c r="C41" s="119"/>
      <c r="D41" s="119"/>
      <c r="E41" s="119"/>
      <c r="F41" s="119"/>
      <c r="G41" s="119"/>
    </row>
    <row r="42" spans="1:8" s="92" customFormat="1" ht="10.5" customHeight="1">
      <c r="A42" s="119"/>
      <c r="B42" s="119"/>
      <c r="C42" s="119"/>
      <c r="D42" s="119"/>
      <c r="E42" s="119"/>
      <c r="F42" s="119"/>
      <c r="G42" s="119"/>
    </row>
    <row r="43" spans="1:8" s="106" customFormat="1" ht="15" customHeight="1">
      <c r="A43" s="119"/>
      <c r="B43" s="119"/>
      <c r="C43" s="119"/>
      <c r="D43" s="119"/>
      <c r="E43" s="119"/>
      <c r="F43" s="119"/>
      <c r="G43" s="119"/>
    </row>
    <row r="44" spans="1:8" s="107" customFormat="1" ht="10.5" customHeight="1">
      <c r="A44" s="119"/>
      <c r="B44" s="119"/>
      <c r="C44" s="119"/>
      <c r="D44" s="119"/>
      <c r="E44" s="119"/>
      <c r="F44" s="119"/>
      <c r="G44" s="119"/>
    </row>
    <row r="45" spans="1:8" s="48" customFormat="1" ht="10.5" customHeight="1">
      <c r="A45" s="119"/>
      <c r="B45" s="119"/>
      <c r="C45" s="119"/>
      <c r="D45" s="119"/>
      <c r="E45" s="119"/>
      <c r="F45" s="119"/>
      <c r="G45" s="119"/>
    </row>
    <row r="46" spans="1:8" s="48" customFormat="1" ht="10.5" customHeight="1">
      <c r="A46" s="119"/>
      <c r="B46" s="119"/>
      <c r="C46" s="119"/>
      <c r="D46" s="119"/>
      <c r="E46" s="119"/>
      <c r="F46" s="119"/>
      <c r="G46" s="119"/>
    </row>
    <row r="47" spans="1:8" s="48" customFormat="1" ht="10.5" customHeight="1">
      <c r="A47" s="119"/>
      <c r="B47" s="119"/>
      <c r="C47" s="119"/>
      <c r="D47" s="119"/>
      <c r="E47" s="119"/>
      <c r="F47" s="119"/>
      <c r="G47" s="119"/>
      <c r="H47" s="102"/>
    </row>
    <row r="48" spans="1:8" s="54" customFormat="1" ht="6.75" customHeight="1">
      <c r="A48" s="119"/>
      <c r="B48" s="119"/>
      <c r="C48" s="119"/>
      <c r="D48" s="119"/>
      <c r="E48" s="119"/>
      <c r="F48" s="119"/>
      <c r="G48" s="119"/>
    </row>
    <row r="55" spans="1:7">
      <c r="A55" s="118"/>
      <c r="B55" s="118"/>
      <c r="C55" s="118"/>
      <c r="D55" s="118"/>
      <c r="E55" s="118"/>
      <c r="F55" s="118"/>
      <c r="G55" s="118"/>
    </row>
    <row r="58" spans="1:7" s="5" customFormat="1" ht="12.75" customHeight="1" thickBot="1">
      <c r="A58" s="38" t="s">
        <v>14</v>
      </c>
      <c r="B58" s="38"/>
      <c r="C58" s="38"/>
      <c r="D58" s="40" t="s">
        <v>116</v>
      </c>
    </row>
    <row r="59" spans="1:7" s="5" customFormat="1" ht="12.75" customHeight="1">
      <c r="A59" s="23" t="s">
        <v>58</v>
      </c>
      <c r="B59" s="10"/>
      <c r="C59" s="10"/>
      <c r="D59" s="6"/>
    </row>
    <row r="60" spans="1:7" s="5" customFormat="1" ht="12.75" customHeight="1">
      <c r="A60" s="9" t="s">
        <v>22</v>
      </c>
      <c r="B60" s="9"/>
      <c r="C60" s="9"/>
      <c r="D60" s="10">
        <v>110963</v>
      </c>
    </row>
    <row r="61" spans="1:7" s="5" customFormat="1" ht="12.75" customHeight="1">
      <c r="A61" s="11" t="s">
        <v>2</v>
      </c>
      <c r="B61" s="11"/>
      <c r="C61" s="96"/>
      <c r="D61" s="10">
        <v>48501</v>
      </c>
    </row>
    <row r="62" spans="1:7" s="5" customFormat="1" ht="12.75" customHeight="1">
      <c r="A62" s="11" t="s">
        <v>3</v>
      </c>
      <c r="B62" s="11"/>
      <c r="C62" s="96"/>
      <c r="D62" s="10">
        <v>50250</v>
      </c>
    </row>
    <row r="63" spans="1:7" s="5" customFormat="1" ht="12.75" customHeight="1">
      <c r="A63" s="8" t="s">
        <v>12</v>
      </c>
      <c r="B63" s="8"/>
      <c r="C63" s="96"/>
      <c r="D63" s="10">
        <v>49</v>
      </c>
    </row>
    <row r="64" spans="1:7" s="5" customFormat="1" ht="12.75" customHeight="1">
      <c r="A64" s="11" t="s">
        <v>24</v>
      </c>
      <c r="B64" s="11"/>
      <c r="C64" s="96"/>
      <c r="D64" s="10">
        <v>12163</v>
      </c>
    </row>
    <row r="65" spans="1:4" s="4" customFormat="1" ht="12.75" customHeight="1">
      <c r="A65" s="13"/>
      <c r="B65" s="13"/>
      <c r="C65" s="13"/>
      <c r="D65" s="14"/>
    </row>
    <row r="66" spans="1:4" s="5" customFormat="1" ht="12.75" customHeight="1" thickBot="1">
      <c r="A66" s="38" t="s">
        <v>14</v>
      </c>
      <c r="B66" s="38"/>
      <c r="C66" s="38"/>
      <c r="D66" s="40" t="s">
        <v>116</v>
      </c>
    </row>
    <row r="67" spans="1:4" s="5" customFormat="1" ht="12.75" customHeight="1">
      <c r="A67" s="23" t="s">
        <v>5</v>
      </c>
      <c r="B67" s="10"/>
      <c r="C67" s="10"/>
      <c r="D67" s="10"/>
    </row>
    <row r="68" spans="1:4" s="5" customFormat="1" ht="12.75" customHeight="1">
      <c r="A68" s="9" t="s">
        <v>22</v>
      </c>
      <c r="B68" s="9"/>
      <c r="C68" s="9"/>
      <c r="D68" s="10">
        <v>86429</v>
      </c>
    </row>
    <row r="69" spans="1:4" s="4" customFormat="1" ht="12.75" customHeight="1">
      <c r="A69" s="8" t="s">
        <v>2</v>
      </c>
      <c r="B69" s="8"/>
      <c r="C69" s="8"/>
      <c r="D69" s="14">
        <v>24039</v>
      </c>
    </row>
    <row r="70" spans="1:4" s="4" customFormat="1" ht="12.75" customHeight="1">
      <c r="A70" s="8" t="s">
        <v>3</v>
      </c>
      <c r="B70" s="8"/>
      <c r="C70" s="8"/>
      <c r="D70" s="14">
        <v>56699</v>
      </c>
    </row>
    <row r="71" spans="1:4" s="4" customFormat="1" ht="12.75" customHeight="1">
      <c r="A71" s="8" t="s">
        <v>24</v>
      </c>
      <c r="B71" s="8"/>
      <c r="C71" s="8"/>
      <c r="D71" s="14">
        <v>5691</v>
      </c>
    </row>
    <row r="72" spans="1:4" s="4" customFormat="1" ht="12.75" customHeight="1">
      <c r="A72" s="13"/>
      <c r="B72" s="13"/>
      <c r="C72" s="13"/>
      <c r="D72" s="14"/>
    </row>
    <row r="73" spans="1:4" s="5" customFormat="1" ht="12.75" customHeight="1" thickBot="1">
      <c r="A73" s="38" t="s">
        <v>14</v>
      </c>
      <c r="B73" s="38"/>
      <c r="C73" s="38"/>
      <c r="D73" s="40" t="s">
        <v>116</v>
      </c>
    </row>
    <row r="74" spans="1:4" s="5" customFormat="1" ht="12.75" customHeight="1">
      <c r="A74" s="23" t="s">
        <v>6</v>
      </c>
      <c r="B74" s="10"/>
      <c r="C74" s="10"/>
      <c r="D74" s="10">
        <v>46006</v>
      </c>
    </row>
    <row r="75" spans="1:4" s="5" customFormat="1" ht="12.75" customHeight="1">
      <c r="A75" s="9" t="s">
        <v>22</v>
      </c>
      <c r="B75" s="9"/>
      <c r="C75" s="9"/>
      <c r="D75" s="10">
        <v>46006</v>
      </c>
    </row>
    <row r="76" spans="1:4" s="5" customFormat="1" ht="12.75" customHeight="1">
      <c r="A76" s="97" t="s">
        <v>2</v>
      </c>
      <c r="B76" s="97"/>
      <c r="C76" s="97"/>
      <c r="D76" s="10">
        <v>19760</v>
      </c>
    </row>
    <row r="77" spans="1:4" s="5" customFormat="1" ht="12.75" customHeight="1">
      <c r="A77" s="97" t="s">
        <v>3</v>
      </c>
      <c r="B77" s="97"/>
      <c r="C77" s="97"/>
      <c r="D77" s="10">
        <v>19688</v>
      </c>
    </row>
    <row r="78" spans="1:4" s="5" customFormat="1" ht="12.75" customHeight="1">
      <c r="A78" s="97" t="s">
        <v>24</v>
      </c>
      <c r="B78" s="97"/>
      <c r="C78" s="97"/>
      <c r="D78" s="10">
        <v>6558</v>
      </c>
    </row>
    <row r="79" spans="1:4" s="6" customFormat="1" ht="12.75" customHeight="1">
      <c r="A79" s="15"/>
      <c r="B79" s="15"/>
      <c r="C79" s="15"/>
      <c r="D79" s="10"/>
    </row>
    <row r="80" spans="1:4" s="5" customFormat="1" ht="12.75" hidden="1" customHeight="1">
      <c r="A80" s="38" t="s">
        <v>14</v>
      </c>
      <c r="B80" s="38"/>
      <c r="C80" s="38"/>
      <c r="D80" s="40" t="s">
        <v>71</v>
      </c>
    </row>
    <row r="81" spans="1:7" s="5" customFormat="1" ht="12.75" hidden="1" customHeight="1">
      <c r="A81" s="23" t="s">
        <v>7</v>
      </c>
      <c r="B81" s="10"/>
      <c r="C81" s="10"/>
      <c r="D81" s="36">
        <v>0</v>
      </c>
    </row>
    <row r="82" spans="1:7" s="5" customFormat="1" ht="12.75" hidden="1" customHeight="1">
      <c r="A82" s="10" t="s">
        <v>19</v>
      </c>
      <c r="B82" s="10"/>
      <c r="C82" s="10"/>
      <c r="D82" s="36">
        <v>0</v>
      </c>
    </row>
    <row r="83" spans="1:7" ht="12.75" hidden="1" customHeight="1">
      <c r="A83" s="8" t="s">
        <v>2</v>
      </c>
      <c r="B83" s="8"/>
      <c r="C83" s="8"/>
      <c r="D83" s="37"/>
      <c r="E83"/>
      <c r="F83"/>
      <c r="G83"/>
    </row>
    <row r="84" spans="1:7" ht="12.75" hidden="1" customHeight="1">
      <c r="A84" s="8" t="s">
        <v>3</v>
      </c>
      <c r="B84" s="8"/>
      <c r="C84" s="8"/>
      <c r="D84" s="37"/>
      <c r="E84"/>
      <c r="F84"/>
      <c r="G84"/>
    </row>
    <row r="85" spans="1:7" ht="12.75" hidden="1" customHeight="1">
      <c r="A85" s="8" t="s">
        <v>24</v>
      </c>
      <c r="B85" s="8"/>
      <c r="C85" s="8"/>
      <c r="D85" s="37">
        <v>0</v>
      </c>
      <c r="E85"/>
      <c r="F85"/>
      <c r="G85"/>
    </row>
    <row r="86" spans="1:7" ht="12.75" hidden="1" customHeight="1">
      <c r="A86" s="13"/>
      <c r="B86" s="13"/>
      <c r="C86" s="13"/>
      <c r="D86" s="37"/>
      <c r="E86"/>
      <c r="F86"/>
      <c r="G86"/>
    </row>
    <row r="87" spans="1:7" s="5" customFormat="1" ht="12.75" hidden="1" customHeight="1">
      <c r="A87" s="10" t="s">
        <v>20</v>
      </c>
      <c r="B87" s="10"/>
      <c r="C87" s="10"/>
      <c r="D87" s="36">
        <v>0</v>
      </c>
    </row>
    <row r="88" spans="1:7" ht="12.75" hidden="1" customHeight="1">
      <c r="A88" s="8" t="s">
        <v>2</v>
      </c>
      <c r="B88" s="8"/>
      <c r="C88" s="8"/>
      <c r="D88" s="37"/>
      <c r="E88"/>
      <c r="F88"/>
      <c r="G88"/>
    </row>
    <row r="89" spans="1:7" ht="12.75" hidden="1" customHeight="1">
      <c r="A89" s="8" t="s">
        <v>3</v>
      </c>
      <c r="B89" s="8"/>
      <c r="C89" s="8"/>
      <c r="D89" s="37"/>
      <c r="E89"/>
      <c r="F89"/>
      <c r="G89"/>
    </row>
    <row r="90" spans="1:7" ht="12.75" hidden="1" customHeight="1">
      <c r="A90" s="8" t="s">
        <v>24</v>
      </c>
      <c r="B90" s="8"/>
      <c r="C90" s="8"/>
      <c r="D90" s="37">
        <v>0</v>
      </c>
      <c r="E90"/>
      <c r="F90"/>
      <c r="G90"/>
    </row>
    <row r="91" spans="1:7" ht="12.75" hidden="1" customHeight="1">
      <c r="A91" s="13"/>
      <c r="B91" s="13"/>
      <c r="C91" s="13"/>
      <c r="D91" s="37"/>
      <c r="E91"/>
      <c r="F91"/>
      <c r="G91"/>
    </row>
    <row r="92" spans="1:7" s="5" customFormat="1" ht="12.75" hidden="1" customHeight="1">
      <c r="A92" s="10" t="s">
        <v>21</v>
      </c>
      <c r="B92" s="10"/>
      <c r="C92" s="10"/>
      <c r="D92" s="36">
        <v>0</v>
      </c>
    </row>
    <row r="93" spans="1:7" ht="12.75" hidden="1" customHeight="1">
      <c r="A93" s="8" t="s">
        <v>2</v>
      </c>
      <c r="B93" s="8"/>
      <c r="C93" s="8"/>
      <c r="D93" s="37"/>
      <c r="E93"/>
      <c r="F93"/>
      <c r="G93"/>
    </row>
    <row r="94" spans="1:7" ht="12.75" hidden="1" customHeight="1">
      <c r="A94" s="8" t="s">
        <v>3</v>
      </c>
      <c r="B94" s="8"/>
      <c r="C94" s="8"/>
      <c r="D94" s="37"/>
      <c r="E94"/>
      <c r="F94"/>
      <c r="G94"/>
    </row>
    <row r="95" spans="1:7" ht="12.75" hidden="1" customHeight="1">
      <c r="A95" s="8" t="s">
        <v>24</v>
      </c>
      <c r="B95" s="8"/>
      <c r="C95" s="8"/>
      <c r="D95" s="37">
        <v>0</v>
      </c>
      <c r="E95"/>
      <c r="F95"/>
      <c r="G95"/>
    </row>
    <row r="96" spans="1:7" ht="12.75" hidden="1" customHeight="1">
      <c r="A96" s="13"/>
      <c r="B96" s="13"/>
      <c r="C96" s="13"/>
      <c r="D96" s="37"/>
      <c r="E96"/>
      <c r="F96"/>
      <c r="G96"/>
    </row>
    <row r="97" spans="1:7" s="5" customFormat="1" ht="12.75" hidden="1" customHeight="1">
      <c r="A97" s="9" t="s">
        <v>22</v>
      </c>
      <c r="B97" s="9"/>
      <c r="C97" s="9"/>
      <c r="D97" s="36">
        <v>0</v>
      </c>
    </row>
    <row r="98" spans="1:7" s="6" customFormat="1" ht="12.75" hidden="1" customHeight="1">
      <c r="A98" s="11" t="s">
        <v>2</v>
      </c>
      <c r="B98" s="11"/>
      <c r="C98" s="11"/>
      <c r="D98" s="36">
        <v>0</v>
      </c>
    </row>
    <row r="99" spans="1:7" s="6" customFormat="1" ht="12.75" hidden="1" customHeight="1">
      <c r="A99" s="11" t="s">
        <v>3</v>
      </c>
      <c r="B99" s="11"/>
      <c r="C99" s="11"/>
      <c r="D99" s="36">
        <v>0</v>
      </c>
    </row>
    <row r="100" spans="1:7" s="6" customFormat="1" ht="12.75" hidden="1" customHeight="1">
      <c r="A100" s="11" t="s">
        <v>24</v>
      </c>
      <c r="B100" s="11"/>
      <c r="C100" s="11"/>
      <c r="D100" s="35">
        <v>0</v>
      </c>
    </row>
    <row r="101" spans="1:7" ht="12.75" hidden="1" customHeight="1">
      <c r="A101" s="13"/>
      <c r="B101" s="13"/>
      <c r="C101" s="13"/>
      <c r="D101" s="14"/>
      <c r="E101"/>
      <c r="F101"/>
      <c r="G101"/>
    </row>
    <row r="102" spans="1:7" s="5" customFormat="1" ht="12.75" customHeight="1" thickBot="1">
      <c r="A102" s="38" t="s">
        <v>14</v>
      </c>
      <c r="B102" s="38"/>
      <c r="C102" s="38"/>
      <c r="D102" s="40" t="s">
        <v>116</v>
      </c>
    </row>
    <row r="103" spans="1:7" s="5" customFormat="1" ht="12.75" customHeight="1">
      <c r="A103" s="23" t="s">
        <v>8</v>
      </c>
      <c r="B103" s="10"/>
      <c r="C103" s="10"/>
      <c r="D103" s="10">
        <v>137123</v>
      </c>
    </row>
    <row r="104" spans="1:7" s="5" customFormat="1" ht="12.75" customHeight="1">
      <c r="A104" s="9" t="s">
        <v>22</v>
      </c>
      <c r="B104" s="9"/>
      <c r="C104" s="9"/>
      <c r="D104" s="10">
        <v>137123</v>
      </c>
    </row>
    <row r="105" spans="1:7" s="5" customFormat="1" ht="12.75" customHeight="1">
      <c r="A105" s="11" t="s">
        <v>2</v>
      </c>
      <c r="B105" s="11"/>
      <c r="C105" s="10"/>
      <c r="D105" s="10">
        <v>45737</v>
      </c>
    </row>
    <row r="106" spans="1:7" s="5" customFormat="1" ht="12.75" customHeight="1">
      <c r="A106" s="11" t="s">
        <v>3</v>
      </c>
      <c r="B106" s="11"/>
      <c r="C106" s="10"/>
      <c r="D106" s="10">
        <v>69491</v>
      </c>
    </row>
    <row r="107" spans="1:7" s="5" customFormat="1" ht="12.75" customHeight="1">
      <c r="A107" s="8" t="s">
        <v>12</v>
      </c>
      <c r="B107" s="8"/>
      <c r="C107" s="8"/>
      <c r="D107" s="10">
        <v>18</v>
      </c>
    </row>
    <row r="108" spans="1:7" s="5" customFormat="1" ht="12.75" customHeight="1">
      <c r="A108" s="11" t="s">
        <v>24</v>
      </c>
      <c r="B108" s="11"/>
      <c r="C108" s="10"/>
      <c r="D108" s="10">
        <v>21877</v>
      </c>
    </row>
    <row r="109" spans="1:7" s="5" customFormat="1" ht="12.75" customHeight="1">
      <c r="A109" s="10"/>
      <c r="B109" s="10"/>
      <c r="C109" s="10"/>
      <c r="D109" s="10"/>
    </row>
    <row r="110" spans="1:7" s="5" customFormat="1" ht="12.75" hidden="1" customHeight="1">
      <c r="A110" s="38" t="s">
        <v>14</v>
      </c>
      <c r="B110" s="38"/>
      <c r="C110" s="38"/>
      <c r="D110" s="40" t="s">
        <v>71</v>
      </c>
    </row>
    <row r="111" spans="1:7" s="5" customFormat="1" ht="12.75" hidden="1" customHeight="1">
      <c r="A111" s="23" t="s">
        <v>9</v>
      </c>
      <c r="B111" s="10"/>
      <c r="C111" s="10"/>
      <c r="D111" s="35">
        <v>0</v>
      </c>
    </row>
    <row r="112" spans="1:7" s="5" customFormat="1" ht="12.75" hidden="1" customHeight="1">
      <c r="A112" s="10" t="s">
        <v>19</v>
      </c>
      <c r="B112" s="10"/>
      <c r="C112" s="10"/>
      <c r="D112" s="36">
        <v>0</v>
      </c>
    </row>
    <row r="113" spans="1:7" ht="12.75" hidden="1" customHeight="1">
      <c r="A113" s="8" t="s">
        <v>2</v>
      </c>
      <c r="B113" s="8"/>
      <c r="C113" s="8"/>
      <c r="D113" s="37"/>
      <c r="E113"/>
      <c r="F113"/>
      <c r="G113"/>
    </row>
    <row r="114" spans="1:7" ht="12.75" hidden="1" customHeight="1">
      <c r="A114" s="8" t="s">
        <v>3</v>
      </c>
      <c r="B114" s="8"/>
      <c r="C114" s="8"/>
      <c r="D114" s="37"/>
      <c r="E114"/>
      <c r="F114"/>
      <c r="G114"/>
    </row>
    <row r="115" spans="1:7" ht="12.75" hidden="1" customHeight="1">
      <c r="A115" s="8" t="s">
        <v>24</v>
      </c>
      <c r="B115" s="8"/>
      <c r="C115" s="8"/>
      <c r="D115" s="37">
        <v>0</v>
      </c>
      <c r="E115"/>
      <c r="F115"/>
      <c r="G115"/>
    </row>
    <row r="116" spans="1:7" ht="12.75" hidden="1" customHeight="1">
      <c r="A116" s="13"/>
      <c r="B116" s="13"/>
      <c r="C116" s="13"/>
      <c r="D116" s="37"/>
      <c r="E116"/>
      <c r="F116"/>
      <c r="G116"/>
    </row>
    <row r="117" spans="1:7" s="5" customFormat="1" ht="12.75" hidden="1" customHeight="1">
      <c r="A117" s="10" t="s">
        <v>20</v>
      </c>
      <c r="B117" s="10"/>
      <c r="C117" s="10"/>
      <c r="D117" s="36">
        <v>0</v>
      </c>
    </row>
    <row r="118" spans="1:7" ht="12.75" hidden="1" customHeight="1">
      <c r="A118" s="8" t="s">
        <v>2</v>
      </c>
      <c r="B118" s="8"/>
      <c r="C118" s="8"/>
      <c r="D118" s="37"/>
      <c r="E118"/>
      <c r="F118"/>
      <c r="G118"/>
    </row>
    <row r="119" spans="1:7" ht="12.75" hidden="1" customHeight="1">
      <c r="A119" s="8" t="s">
        <v>3</v>
      </c>
      <c r="B119" s="8"/>
      <c r="C119" s="8"/>
      <c r="D119" s="37"/>
      <c r="E119"/>
      <c r="F119"/>
      <c r="G119"/>
    </row>
    <row r="120" spans="1:7" ht="12.75" hidden="1" customHeight="1">
      <c r="A120" s="8" t="s">
        <v>24</v>
      </c>
      <c r="B120" s="8"/>
      <c r="C120" s="8"/>
      <c r="D120" s="37">
        <v>0</v>
      </c>
      <c r="E120"/>
      <c r="F120"/>
      <c r="G120"/>
    </row>
    <row r="121" spans="1:7" ht="12.75" hidden="1" customHeight="1">
      <c r="A121" s="13"/>
      <c r="B121" s="13"/>
      <c r="C121" s="13"/>
      <c r="D121" s="37"/>
      <c r="E121"/>
      <c r="F121"/>
      <c r="G121"/>
    </row>
    <row r="122" spans="1:7" s="5" customFormat="1" ht="12.75" hidden="1" customHeight="1">
      <c r="A122" s="10" t="s">
        <v>21</v>
      </c>
      <c r="B122" s="10"/>
      <c r="C122" s="10"/>
      <c r="D122" s="36">
        <v>0</v>
      </c>
    </row>
    <row r="123" spans="1:7" ht="12.75" hidden="1" customHeight="1">
      <c r="A123" s="8" t="s">
        <v>2</v>
      </c>
      <c r="B123" s="8"/>
      <c r="C123" s="8"/>
      <c r="D123" s="37"/>
      <c r="E123"/>
      <c r="F123"/>
      <c r="G123"/>
    </row>
    <row r="124" spans="1:7" ht="12.75" hidden="1" customHeight="1">
      <c r="A124" s="8" t="s">
        <v>3</v>
      </c>
      <c r="B124" s="8"/>
      <c r="C124" s="8"/>
      <c r="D124" s="37"/>
      <c r="E124"/>
      <c r="F124"/>
      <c r="G124"/>
    </row>
    <row r="125" spans="1:7" ht="12.75" hidden="1" customHeight="1">
      <c r="A125" s="8" t="s">
        <v>24</v>
      </c>
      <c r="B125" s="8"/>
      <c r="C125" s="8"/>
      <c r="D125" s="37">
        <v>0</v>
      </c>
      <c r="E125"/>
      <c r="F125"/>
      <c r="G125"/>
    </row>
    <row r="126" spans="1:7" ht="12.75" hidden="1" customHeight="1">
      <c r="A126" s="13"/>
      <c r="B126" s="13"/>
      <c r="C126" s="13"/>
      <c r="D126" s="37"/>
      <c r="E126"/>
      <c r="F126"/>
      <c r="G126"/>
    </row>
    <row r="127" spans="1:7" s="5" customFormat="1" ht="12.75" hidden="1" customHeight="1">
      <c r="A127" s="9" t="s">
        <v>22</v>
      </c>
      <c r="B127" s="9"/>
      <c r="C127" s="9"/>
      <c r="D127" s="35">
        <v>0</v>
      </c>
    </row>
    <row r="128" spans="1:7" s="5" customFormat="1" ht="12.75" hidden="1" customHeight="1">
      <c r="A128" s="9" t="s">
        <v>2</v>
      </c>
      <c r="B128" s="9"/>
      <c r="C128" s="9"/>
      <c r="D128" s="35">
        <v>0</v>
      </c>
    </row>
    <row r="129" spans="1:4" s="5" customFormat="1" ht="12.75" hidden="1" customHeight="1">
      <c r="A129" s="9" t="s">
        <v>3</v>
      </c>
      <c r="B129" s="9"/>
      <c r="C129" s="9"/>
      <c r="D129" s="35">
        <v>0</v>
      </c>
    </row>
    <row r="130" spans="1:4" s="5" customFormat="1" ht="12.75" hidden="1" customHeight="1">
      <c r="A130" s="9" t="s">
        <v>24</v>
      </c>
      <c r="B130" s="9"/>
      <c r="C130" s="9"/>
      <c r="D130" s="35">
        <v>0</v>
      </c>
    </row>
    <row r="131" spans="1:4" s="6" customFormat="1" ht="12.75" hidden="1" customHeight="1">
      <c r="A131" s="15"/>
      <c r="B131" s="15"/>
      <c r="C131" s="15"/>
      <c r="D131" s="35"/>
    </row>
    <row r="132" spans="1:4" s="5" customFormat="1" ht="12.75" customHeight="1" thickBot="1">
      <c r="A132" s="38" t="s">
        <v>14</v>
      </c>
      <c r="B132" s="38"/>
      <c r="C132" s="38"/>
      <c r="D132" s="40" t="s">
        <v>116</v>
      </c>
    </row>
    <row r="133" spans="1:4" s="5" customFormat="1" ht="12.75" customHeight="1">
      <c r="A133" s="23" t="s">
        <v>56</v>
      </c>
      <c r="B133" s="10"/>
      <c r="C133" s="10"/>
      <c r="D133" s="10">
        <v>112175</v>
      </c>
    </row>
    <row r="134" spans="1:4" s="5" customFormat="1" ht="12.75" customHeight="1">
      <c r="A134" s="9" t="s">
        <v>22</v>
      </c>
      <c r="B134" s="9"/>
      <c r="C134" s="9"/>
      <c r="D134" s="10">
        <v>112175</v>
      </c>
    </row>
    <row r="135" spans="1:4" s="5" customFormat="1" ht="12.75" customHeight="1">
      <c r="A135" s="9" t="s">
        <v>2</v>
      </c>
      <c r="B135" s="9"/>
      <c r="C135" s="9"/>
      <c r="D135" s="10">
        <v>46539</v>
      </c>
    </row>
    <row r="136" spans="1:4" s="5" customFormat="1" ht="12.75" customHeight="1">
      <c r="A136" s="9" t="s">
        <v>3</v>
      </c>
      <c r="B136" s="9"/>
      <c r="C136" s="9"/>
      <c r="D136" s="10">
        <v>52821</v>
      </c>
    </row>
    <row r="137" spans="1:4" s="5" customFormat="1" ht="12.75" customHeight="1">
      <c r="A137" s="9" t="s">
        <v>24</v>
      </c>
      <c r="B137" s="9"/>
      <c r="C137" s="9"/>
      <c r="D137" s="10">
        <v>12815</v>
      </c>
    </row>
    <row r="138" spans="1:4" s="6" customFormat="1" ht="12.75" customHeight="1">
      <c r="A138" s="15"/>
      <c r="B138" s="15"/>
      <c r="C138" s="15"/>
      <c r="D138" s="10"/>
    </row>
    <row r="139" spans="1:4" s="5" customFormat="1" ht="12.75" customHeight="1" thickBot="1">
      <c r="A139" s="38" t="s">
        <v>14</v>
      </c>
      <c r="B139" s="38"/>
      <c r="C139" s="38"/>
      <c r="D139" s="40" t="s">
        <v>116</v>
      </c>
    </row>
    <row r="140" spans="1:4" s="5" customFormat="1" ht="12.75" customHeight="1">
      <c r="A140" s="23" t="s">
        <v>10</v>
      </c>
      <c r="B140" s="10"/>
      <c r="C140" s="10"/>
      <c r="D140" s="10">
        <v>475624</v>
      </c>
    </row>
    <row r="141" spans="1:4" s="5" customFormat="1" ht="12.75" customHeight="1">
      <c r="A141" s="9" t="s">
        <v>22</v>
      </c>
      <c r="B141" s="9"/>
      <c r="C141" s="9"/>
      <c r="D141" s="10">
        <v>475624</v>
      </c>
    </row>
    <row r="142" spans="1:4" s="5" customFormat="1" ht="12.75" customHeight="1">
      <c r="A142" s="15" t="s">
        <v>2</v>
      </c>
      <c r="B142" s="15"/>
      <c r="C142" s="9"/>
      <c r="D142" s="10">
        <v>321941</v>
      </c>
    </row>
    <row r="143" spans="1:4" s="5" customFormat="1" ht="12.75" customHeight="1">
      <c r="A143" s="15" t="s">
        <v>3</v>
      </c>
      <c r="B143" s="15"/>
      <c r="C143" s="9"/>
      <c r="D143" s="10">
        <v>131010</v>
      </c>
    </row>
    <row r="144" spans="1:4" s="5" customFormat="1" ht="12.75" customHeight="1">
      <c r="A144" s="8" t="s">
        <v>12</v>
      </c>
      <c r="B144" s="8"/>
      <c r="C144" s="8"/>
      <c r="D144" s="10">
        <v>5</v>
      </c>
    </row>
    <row r="145" spans="1:7" s="5" customFormat="1" ht="12.75" customHeight="1">
      <c r="A145" s="15" t="s">
        <v>24</v>
      </c>
      <c r="B145" s="15"/>
      <c r="C145" s="9"/>
      <c r="D145" s="10">
        <v>22668</v>
      </c>
    </row>
    <row r="146" spans="1:7" ht="12.75" customHeight="1">
      <c r="A146" s="13"/>
      <c r="B146" s="13"/>
      <c r="C146" s="13"/>
      <c r="D146" s="14"/>
      <c r="E146"/>
      <c r="F146"/>
      <c r="G146"/>
    </row>
    <row r="147" spans="1:7" s="5" customFormat="1" ht="12.75" customHeight="1" thickBot="1">
      <c r="A147" s="38" t="s">
        <v>14</v>
      </c>
      <c r="B147" s="38"/>
      <c r="C147" s="38"/>
      <c r="D147" s="40" t="s">
        <v>116</v>
      </c>
    </row>
    <row r="148" spans="1:7" s="5" customFormat="1" ht="12.75" customHeight="1">
      <c r="A148" s="24" t="s">
        <v>11</v>
      </c>
      <c r="B148" s="9"/>
      <c r="C148" s="9"/>
      <c r="D148" s="10">
        <v>27088</v>
      </c>
    </row>
    <row r="149" spans="1:7" s="5" customFormat="1" ht="12.75" customHeight="1">
      <c r="A149" s="9" t="s">
        <v>22</v>
      </c>
      <c r="B149" s="9"/>
      <c r="C149" s="9"/>
      <c r="D149" s="10">
        <v>27088</v>
      </c>
    </row>
    <row r="150" spans="1:7" s="5" customFormat="1" ht="12.75" customHeight="1">
      <c r="A150" s="98" t="s">
        <v>2</v>
      </c>
      <c r="B150" s="10"/>
      <c r="C150" s="10"/>
      <c r="D150" s="10">
        <v>0</v>
      </c>
    </row>
    <row r="151" spans="1:7" s="5" customFormat="1" ht="12.75" customHeight="1">
      <c r="A151" s="98" t="s">
        <v>3</v>
      </c>
      <c r="B151" s="10"/>
      <c r="C151" s="10"/>
      <c r="D151" s="10">
        <v>504</v>
      </c>
    </row>
    <row r="152" spans="1:7" s="5" customFormat="1" ht="12.75" customHeight="1">
      <c r="A152" s="97" t="s">
        <v>12</v>
      </c>
      <c r="B152" s="10"/>
      <c r="C152" s="10"/>
      <c r="D152" s="10">
        <v>25925</v>
      </c>
    </row>
    <row r="153" spans="1:7" s="5" customFormat="1" ht="12.75" customHeight="1">
      <c r="A153" s="97" t="s">
        <v>24</v>
      </c>
      <c r="B153" s="10"/>
      <c r="C153" s="10"/>
      <c r="D153" s="10">
        <v>659</v>
      </c>
    </row>
    <row r="154" spans="1:7" ht="12.75" customHeight="1">
      <c r="A154" s="8"/>
      <c r="B154" s="8"/>
      <c r="C154" s="8"/>
      <c r="D154" s="14"/>
      <c r="E154"/>
      <c r="F154"/>
      <c r="G154"/>
    </row>
    <row r="155" spans="1:7" s="5" customFormat="1" ht="12.75" customHeight="1" thickBot="1">
      <c r="A155" s="38" t="s">
        <v>14</v>
      </c>
      <c r="B155" s="38"/>
      <c r="C155" s="38"/>
      <c r="D155" s="40" t="s">
        <v>116</v>
      </c>
    </row>
    <row r="156" spans="1:7" ht="12.75" customHeight="1">
      <c r="A156" s="16" t="s">
        <v>50</v>
      </c>
      <c r="B156" s="17"/>
      <c r="C156" s="17"/>
      <c r="D156" s="14"/>
      <c r="E156"/>
      <c r="F156"/>
      <c r="G156"/>
    </row>
    <row r="157" spans="1:7" s="5" customFormat="1" ht="10.5" customHeight="1">
      <c r="A157" s="9" t="s">
        <v>22</v>
      </c>
      <c r="B157" s="9"/>
      <c r="C157" s="9"/>
      <c r="D157" s="10">
        <v>8733</v>
      </c>
    </row>
    <row r="158" spans="1:7" s="5" customFormat="1" ht="10.5" customHeight="1">
      <c r="A158" s="135" t="s">
        <v>2</v>
      </c>
      <c r="B158" s="135"/>
      <c r="C158" s="135"/>
      <c r="D158" s="9">
        <v>8357</v>
      </c>
    </row>
    <row r="159" spans="1:7" s="5" customFormat="1" ht="10.5" customHeight="1">
      <c r="A159" s="135" t="s">
        <v>3</v>
      </c>
      <c r="B159" s="135"/>
      <c r="C159" s="135"/>
      <c r="D159" s="9">
        <v>374</v>
      </c>
    </row>
    <row r="160" spans="1:7" s="5" customFormat="1" ht="10.5" customHeight="1">
      <c r="A160" s="135" t="s">
        <v>24</v>
      </c>
      <c r="B160" s="135"/>
      <c r="C160" s="135"/>
      <c r="D160" s="9">
        <v>2</v>
      </c>
    </row>
    <row r="161" spans="1:7" ht="14.25" customHeight="1">
      <c r="A161" s="136"/>
      <c r="B161" s="136"/>
      <c r="C161" s="136"/>
      <c r="D161" s="137"/>
      <c r="E161"/>
      <c r="F161"/>
      <c r="G161"/>
    </row>
    <row r="162" spans="1:7" s="5" customFormat="1" ht="11.25" customHeight="1">
      <c r="A162" s="9" t="s">
        <v>43</v>
      </c>
      <c r="B162" s="9"/>
      <c r="C162" s="9"/>
      <c r="D162" s="10">
        <v>1004141</v>
      </c>
      <c r="E162"/>
      <c r="F162" s="18"/>
      <c r="G162" s="18"/>
    </row>
    <row r="163" spans="1:7" s="5" customFormat="1" ht="11.25" customHeight="1">
      <c r="A163" s="9" t="s">
        <v>2</v>
      </c>
      <c r="B163" s="9"/>
      <c r="C163" s="9"/>
      <c r="D163" s="10">
        <v>514874</v>
      </c>
      <c r="E163"/>
      <c r="F163" s="18"/>
      <c r="G163" s="18"/>
    </row>
    <row r="164" spans="1:7" s="5" customFormat="1" ht="11.25" customHeight="1">
      <c r="A164" s="9" t="s">
        <v>3</v>
      </c>
      <c r="B164" s="9"/>
      <c r="C164" s="9"/>
      <c r="D164" s="10">
        <v>380837</v>
      </c>
      <c r="E164"/>
      <c r="F164" s="18"/>
      <c r="G164" s="18"/>
    </row>
    <row r="165" spans="1:7" s="5" customFormat="1" ht="11.25" customHeight="1">
      <c r="A165" s="9" t="s">
        <v>12</v>
      </c>
      <c r="B165" s="9"/>
      <c r="C165" s="9"/>
      <c r="D165" s="10">
        <v>25997</v>
      </c>
      <c r="E165"/>
      <c r="F165" s="18"/>
      <c r="G165" s="18"/>
    </row>
    <row r="166" spans="1:7" s="5" customFormat="1" ht="11.25" customHeight="1">
      <c r="A166" s="9" t="s">
        <v>24</v>
      </c>
      <c r="B166" s="9"/>
      <c r="C166" s="9"/>
      <c r="D166" s="10">
        <v>82433</v>
      </c>
      <c r="E166"/>
      <c r="F166" s="18"/>
      <c r="G166" s="18"/>
    </row>
    <row r="167" spans="1:7" s="5" customFormat="1" ht="11.25" customHeight="1">
      <c r="A167" s="9" t="s">
        <v>4</v>
      </c>
      <c r="B167" s="9"/>
      <c r="C167" s="9"/>
      <c r="D167" s="99">
        <v>1004141</v>
      </c>
      <c r="E167"/>
    </row>
    <row r="168" spans="1:7" ht="5.25" customHeight="1">
      <c r="A168" s="3"/>
      <c r="B168" s="3"/>
      <c r="C168" s="3"/>
      <c r="D168"/>
      <c r="E168"/>
      <c r="F168"/>
      <c r="G168"/>
    </row>
    <row r="169" spans="1:7" ht="10.5" customHeight="1">
      <c r="A169"/>
      <c r="B169"/>
      <c r="C169" s="91" t="s">
        <v>75</v>
      </c>
      <c r="D169" s="41">
        <v>47280</v>
      </c>
      <c r="E169"/>
      <c r="F169"/>
      <c r="G169"/>
    </row>
    <row r="170" spans="1:7" ht="10.5" customHeight="1">
      <c r="A170"/>
      <c r="B170"/>
      <c r="C170" s="91" t="s">
        <v>76</v>
      </c>
      <c r="D170" s="42">
        <v>497571</v>
      </c>
      <c r="E170"/>
      <c r="F170"/>
      <c r="G170"/>
    </row>
    <row r="171" spans="1:7" ht="10.5" customHeight="1">
      <c r="A171"/>
      <c r="B171"/>
      <c r="C171" s="91" t="s">
        <v>77</v>
      </c>
      <c r="D171" s="32">
        <v>459290</v>
      </c>
      <c r="E171" s="28"/>
      <c r="F171"/>
      <c r="G171"/>
    </row>
    <row r="172" spans="1:7" ht="10.5" customHeight="1">
      <c r="A172"/>
      <c r="B172"/>
      <c r="C172" s="91" t="s">
        <v>78</v>
      </c>
      <c r="D172" s="31">
        <v>1004141</v>
      </c>
      <c r="E172"/>
      <c r="F172"/>
      <c r="G172" s="28"/>
    </row>
  </sheetData>
  <printOptions horizontalCentered="1"/>
  <pageMargins left="0.45" right="0.45" top="0.25" bottom="0.5" header="0.3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showGridLines="0" topLeftCell="A7" workbookViewId="0">
      <selection activeCell="L38" sqref="L38"/>
    </sheetView>
  </sheetViews>
  <sheetFormatPr defaultRowHeight="12.75"/>
  <cols>
    <col min="1" max="1" width="14" bestFit="1" customWidth="1"/>
    <col min="2" max="2" width="29.7109375" customWidth="1"/>
  </cols>
  <sheetData>
    <row r="1" spans="1:14">
      <c r="A1" s="120" t="s">
        <v>99</v>
      </c>
      <c r="B1" s="124" t="s">
        <v>100</v>
      </c>
      <c r="C1" s="121" t="s">
        <v>101</v>
      </c>
      <c r="D1" s="121" t="s">
        <v>102</v>
      </c>
      <c r="E1" s="122" t="s">
        <v>103</v>
      </c>
      <c r="F1" s="122" t="s">
        <v>104</v>
      </c>
      <c r="G1" s="122" t="s">
        <v>105</v>
      </c>
      <c r="H1" s="122" t="s">
        <v>106</v>
      </c>
      <c r="I1" s="122" t="s">
        <v>107</v>
      </c>
      <c r="J1" s="122" t="s">
        <v>108</v>
      </c>
      <c r="K1" s="123" t="s">
        <v>109</v>
      </c>
      <c r="L1" s="123" t="s">
        <v>110</v>
      </c>
      <c r="M1" s="123" t="s">
        <v>117</v>
      </c>
    </row>
    <row r="2" spans="1:14">
      <c r="A2" s="103" t="s">
        <v>89</v>
      </c>
      <c r="B2" s="129" t="s">
        <v>58</v>
      </c>
      <c r="C2" s="110">
        <v>45551</v>
      </c>
      <c r="D2" s="110">
        <v>50358</v>
      </c>
      <c r="E2" s="111">
        <v>54126</v>
      </c>
      <c r="F2" s="111">
        <v>62143</v>
      </c>
      <c r="G2" s="111">
        <v>64722</v>
      </c>
      <c r="H2" s="111">
        <v>69169</v>
      </c>
      <c r="I2" s="111">
        <v>78068</v>
      </c>
      <c r="J2" s="111">
        <v>82008</v>
      </c>
      <c r="K2" s="111">
        <v>96557.959999999992</v>
      </c>
      <c r="L2" s="111">
        <v>98944.95</v>
      </c>
      <c r="M2" s="111">
        <v>98751.122700000007</v>
      </c>
    </row>
    <row r="3" spans="1:14">
      <c r="A3" s="104" t="s">
        <v>89</v>
      </c>
      <c r="B3" s="130" t="s">
        <v>5</v>
      </c>
      <c r="C3" s="114">
        <v>55410</v>
      </c>
      <c r="D3" s="114">
        <v>55553</v>
      </c>
      <c r="E3" s="115">
        <v>55849</v>
      </c>
      <c r="F3" s="115">
        <v>58234</v>
      </c>
      <c r="G3" s="115">
        <v>55747</v>
      </c>
      <c r="H3" s="115">
        <v>59198</v>
      </c>
      <c r="I3" s="115">
        <v>62513</v>
      </c>
      <c r="J3" s="115">
        <v>66699</v>
      </c>
      <c r="K3" s="115">
        <v>68837.399999999994</v>
      </c>
      <c r="L3" s="115">
        <v>75306.290000000008</v>
      </c>
      <c r="M3" s="115">
        <v>80738.149999999994</v>
      </c>
    </row>
    <row r="4" spans="1:14">
      <c r="A4" s="103" t="s">
        <v>89</v>
      </c>
      <c r="B4" s="129" t="s">
        <v>6</v>
      </c>
      <c r="C4" s="110">
        <v>33868</v>
      </c>
      <c r="D4" s="110">
        <v>34943</v>
      </c>
      <c r="E4" s="111">
        <v>34304</v>
      </c>
      <c r="F4" s="111">
        <v>36700</v>
      </c>
      <c r="G4" s="111">
        <v>37100</v>
      </c>
      <c r="H4" s="111">
        <v>38341</v>
      </c>
      <c r="I4" s="111">
        <v>37527</v>
      </c>
      <c r="J4" s="111">
        <v>38237</v>
      </c>
      <c r="K4" s="111">
        <v>38250.210000000006</v>
      </c>
      <c r="L4" s="111">
        <v>39154.82</v>
      </c>
      <c r="M4" s="111">
        <v>39447.339999999997</v>
      </c>
    </row>
    <row r="5" spans="1:14">
      <c r="A5" s="104" t="s">
        <v>89</v>
      </c>
      <c r="B5" s="130" t="s">
        <v>8</v>
      </c>
      <c r="C5" s="114">
        <v>61948</v>
      </c>
      <c r="D5" s="114">
        <v>62324</v>
      </c>
      <c r="E5" s="115">
        <v>65639</v>
      </c>
      <c r="F5" s="115">
        <v>70483</v>
      </c>
      <c r="G5" s="115">
        <v>75584</v>
      </c>
      <c r="H5" s="115">
        <v>83983</v>
      </c>
      <c r="I5" s="115">
        <v>91384</v>
      </c>
      <c r="J5" s="115">
        <v>97881</v>
      </c>
      <c r="K5" s="115">
        <v>102114.42</v>
      </c>
      <c r="L5" s="115">
        <v>109416.59</v>
      </c>
      <c r="M5" s="115">
        <v>115228.603</v>
      </c>
    </row>
    <row r="6" spans="1:14">
      <c r="A6" s="103" t="s">
        <v>89</v>
      </c>
      <c r="B6" s="129" t="s">
        <v>56</v>
      </c>
      <c r="C6" s="110">
        <v>62661</v>
      </c>
      <c r="D6" s="110">
        <v>63180</v>
      </c>
      <c r="E6" s="111">
        <v>67074</v>
      </c>
      <c r="F6" s="111">
        <v>72434</v>
      </c>
      <c r="G6" s="111">
        <v>76540</v>
      </c>
      <c r="H6" s="111">
        <v>82203</v>
      </c>
      <c r="I6" s="111">
        <v>89364</v>
      </c>
      <c r="J6" s="111">
        <v>96719</v>
      </c>
      <c r="K6" s="111">
        <v>102030.75</v>
      </c>
      <c r="L6" s="111">
        <v>104526.39</v>
      </c>
      <c r="M6" s="111">
        <v>99360.868000000002</v>
      </c>
    </row>
    <row r="7" spans="1:14">
      <c r="A7" s="104" t="s">
        <v>89</v>
      </c>
      <c r="B7" s="130" t="s">
        <v>10</v>
      </c>
      <c r="C7" s="114">
        <v>324982</v>
      </c>
      <c r="D7" s="114">
        <v>333566</v>
      </c>
      <c r="E7" s="115">
        <v>348309</v>
      </c>
      <c r="F7" s="115">
        <v>355568</v>
      </c>
      <c r="G7" s="115">
        <v>361966</v>
      </c>
      <c r="H7" s="115">
        <v>379796</v>
      </c>
      <c r="I7" s="115">
        <v>387040</v>
      </c>
      <c r="J7" s="115">
        <v>416019</v>
      </c>
      <c r="K7" s="115">
        <v>437142.53</v>
      </c>
      <c r="L7" s="115">
        <v>445653.69</v>
      </c>
      <c r="M7" s="115">
        <v>452950.69390000001</v>
      </c>
    </row>
    <row r="8" spans="1:14">
      <c r="A8" s="104"/>
      <c r="B8" s="130"/>
      <c r="C8" s="114"/>
      <c r="D8" s="114"/>
      <c r="E8" s="114"/>
      <c r="F8" s="115"/>
      <c r="G8" s="115"/>
      <c r="H8" s="115"/>
      <c r="I8" s="115"/>
      <c r="J8" s="115"/>
      <c r="K8" s="115"/>
      <c r="L8" s="115"/>
      <c r="M8" s="115"/>
      <c r="N8" s="115"/>
    </row>
    <row r="9" spans="1:14">
      <c r="A9" s="104"/>
      <c r="B9" s="130"/>
      <c r="C9" s="114"/>
      <c r="D9" s="114"/>
      <c r="E9" s="114"/>
      <c r="F9" s="115"/>
      <c r="G9" s="115"/>
      <c r="H9" s="115"/>
      <c r="I9" s="115"/>
      <c r="J9" s="115"/>
      <c r="K9" s="115"/>
      <c r="L9" s="115"/>
      <c r="M9" s="115"/>
      <c r="N9" s="115"/>
    </row>
    <row r="10" spans="1:14">
      <c r="A10" s="104"/>
      <c r="B10" s="130"/>
      <c r="C10" s="114"/>
      <c r="D10" s="114"/>
      <c r="E10" s="114"/>
      <c r="F10" s="115"/>
      <c r="G10" s="115"/>
      <c r="H10" s="115"/>
      <c r="I10" s="115"/>
      <c r="J10" s="115"/>
      <c r="K10" s="115"/>
      <c r="L10" s="115"/>
      <c r="M10" s="115"/>
      <c r="N10" s="115"/>
    </row>
    <row r="12" spans="1:14">
      <c r="M12" s="142"/>
    </row>
    <row r="36" spans="2:2">
      <c r="B36" s="131" t="s">
        <v>111</v>
      </c>
    </row>
    <row r="64" spans="1:1">
      <c r="A64" t="s">
        <v>119</v>
      </c>
    </row>
    <row r="65" spans="1:14">
      <c r="A65" t="s">
        <v>118</v>
      </c>
    </row>
    <row r="66" spans="1:14">
      <c r="A66" s="104" t="s">
        <v>89</v>
      </c>
      <c r="B66" s="130" t="s">
        <v>10</v>
      </c>
      <c r="C66" s="114">
        <v>334540</v>
      </c>
      <c r="D66" s="114">
        <v>324982</v>
      </c>
      <c r="E66" s="114">
        <v>333566</v>
      </c>
      <c r="F66" s="115">
        <v>348309</v>
      </c>
      <c r="G66" s="115">
        <v>355568</v>
      </c>
      <c r="H66" s="115">
        <v>361966</v>
      </c>
      <c r="I66" s="115">
        <v>379796</v>
      </c>
      <c r="J66" s="115">
        <v>387040</v>
      </c>
      <c r="K66" s="115">
        <v>416019</v>
      </c>
      <c r="L66" s="115">
        <v>437142.53</v>
      </c>
      <c r="M66" s="115">
        <v>445653.69</v>
      </c>
      <c r="N66" s="115">
        <v>445653.69</v>
      </c>
    </row>
    <row r="67" spans="1:14">
      <c r="A67" s="56" t="s">
        <v>38</v>
      </c>
      <c r="B67" s="130" t="s">
        <v>10</v>
      </c>
      <c r="C67" s="112">
        <v>23737</v>
      </c>
      <c r="D67" s="112">
        <v>24440</v>
      </c>
      <c r="E67" s="112">
        <v>24967</v>
      </c>
      <c r="F67" s="113">
        <v>24928</v>
      </c>
      <c r="G67" s="113">
        <v>25421</v>
      </c>
      <c r="H67" s="113">
        <v>25117</v>
      </c>
      <c r="I67" s="113">
        <v>22729</v>
      </c>
      <c r="J67" s="113">
        <v>22156</v>
      </c>
      <c r="K67" s="113">
        <v>22000</v>
      </c>
      <c r="L67" s="113">
        <v>22033.27</v>
      </c>
      <c r="M67" s="113">
        <v>22910.29</v>
      </c>
      <c r="N67" s="113">
        <v>22910.29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9"/>
  <sheetViews>
    <sheetView showGridLines="0" workbookViewId="0">
      <selection activeCell="M27" sqref="M27"/>
    </sheetView>
  </sheetViews>
  <sheetFormatPr defaultRowHeight="12.75"/>
  <cols>
    <col min="1" max="1" width="14" bestFit="1" customWidth="1"/>
    <col min="2" max="2" width="29.7109375" customWidth="1"/>
  </cols>
  <sheetData>
    <row r="1" spans="1:13" ht="14.25">
      <c r="A1" s="120" t="s">
        <v>99</v>
      </c>
      <c r="B1" s="46" t="s">
        <v>82</v>
      </c>
      <c r="C1" s="121" t="s">
        <v>101</v>
      </c>
      <c r="D1" s="121" t="s">
        <v>102</v>
      </c>
      <c r="E1" s="122" t="s">
        <v>103</v>
      </c>
      <c r="F1" s="122" t="s">
        <v>104</v>
      </c>
      <c r="G1" s="122" t="s">
        <v>105</v>
      </c>
      <c r="H1" s="122" t="s">
        <v>106</v>
      </c>
      <c r="I1" s="122" t="s">
        <v>107</v>
      </c>
      <c r="J1" s="122" t="s">
        <v>108</v>
      </c>
      <c r="K1" s="123" t="s">
        <v>109</v>
      </c>
      <c r="L1" s="123" t="s">
        <v>110</v>
      </c>
      <c r="M1" s="123" t="s">
        <v>117</v>
      </c>
    </row>
    <row r="2" spans="1:13">
      <c r="A2" s="103" t="s">
        <v>89</v>
      </c>
      <c r="B2" s="48" t="s">
        <v>112</v>
      </c>
      <c r="C2" s="57">
        <v>592796</v>
      </c>
      <c r="D2" s="57">
        <v>609412</v>
      </c>
      <c r="E2" s="82">
        <v>634669</v>
      </c>
      <c r="F2" s="82">
        <v>663954</v>
      </c>
      <c r="G2" s="82">
        <v>681034</v>
      </c>
      <c r="H2" s="82">
        <v>723841</v>
      </c>
      <c r="I2" s="82">
        <v>762148</v>
      </c>
      <c r="J2" s="82">
        <v>816235</v>
      </c>
      <c r="K2" s="82">
        <v>854434.71</v>
      </c>
      <c r="L2" s="82">
        <v>882547.82999999984</v>
      </c>
      <c r="M2" s="82">
        <v>895711.52759999991</v>
      </c>
    </row>
    <row r="3" spans="1:13">
      <c r="A3" s="104"/>
      <c r="B3" s="130"/>
      <c r="C3" s="114"/>
      <c r="D3" s="114"/>
      <c r="E3" s="115"/>
      <c r="F3" s="115"/>
      <c r="G3" s="115"/>
      <c r="H3" s="115"/>
      <c r="I3" s="115"/>
      <c r="J3" s="115"/>
      <c r="K3" s="115"/>
      <c r="L3" s="115"/>
      <c r="M3" s="115"/>
    </row>
    <row r="4" spans="1:13">
      <c r="A4" s="104"/>
      <c r="B4" s="130"/>
      <c r="C4" s="121" t="s">
        <v>101</v>
      </c>
      <c r="D4" s="121" t="s">
        <v>102</v>
      </c>
      <c r="E4" s="122" t="s">
        <v>103</v>
      </c>
      <c r="F4" s="122" t="s">
        <v>104</v>
      </c>
      <c r="G4" s="122" t="s">
        <v>105</v>
      </c>
      <c r="H4" s="122" t="s">
        <v>106</v>
      </c>
      <c r="I4" s="122" t="s">
        <v>107</v>
      </c>
      <c r="J4" s="122" t="s">
        <v>108</v>
      </c>
      <c r="K4" s="123" t="s">
        <v>109</v>
      </c>
      <c r="L4" s="123" t="s">
        <v>110</v>
      </c>
      <c r="M4" s="123" t="s">
        <v>117</v>
      </c>
    </row>
    <row r="5" spans="1:13">
      <c r="A5" t="s">
        <v>113</v>
      </c>
      <c r="C5" s="57">
        <v>341579</v>
      </c>
      <c r="D5" s="57">
        <v>357221</v>
      </c>
      <c r="E5" s="82">
        <v>378681</v>
      </c>
      <c r="F5" s="82">
        <v>392835</v>
      </c>
      <c r="G5" s="82">
        <v>401307</v>
      </c>
      <c r="H5" s="82">
        <v>426002</v>
      </c>
      <c r="I5" s="82">
        <v>453376</v>
      </c>
      <c r="J5" s="82">
        <v>490161</v>
      </c>
      <c r="K5" s="82">
        <v>508499.94</v>
      </c>
      <c r="L5" s="82">
        <v>518002.97</v>
      </c>
      <c r="M5" s="82">
        <v>514874.53460000001</v>
      </c>
    </row>
    <row r="6" spans="1:13" ht="13.5" thickBot="1">
      <c r="A6" t="s">
        <v>114</v>
      </c>
      <c r="C6" s="132">
        <v>251217</v>
      </c>
      <c r="D6" s="132">
        <v>252191</v>
      </c>
      <c r="E6" s="133">
        <v>255988</v>
      </c>
      <c r="F6" s="133">
        <v>271119</v>
      </c>
      <c r="G6" s="133">
        <v>279727</v>
      </c>
      <c r="H6" s="133">
        <v>297839</v>
      </c>
      <c r="I6" s="133">
        <v>308772</v>
      </c>
      <c r="J6" s="133">
        <v>326074</v>
      </c>
      <c r="K6" s="133">
        <v>345934.77</v>
      </c>
      <c r="L6" s="133">
        <v>364544.85999999993</v>
      </c>
      <c r="M6" s="133">
        <v>380836.99300000002</v>
      </c>
    </row>
    <row r="7" spans="1:13">
      <c r="A7" t="s">
        <v>22</v>
      </c>
      <c r="C7" s="57">
        <f t="shared" ref="C7:L7" si="0">SUM(C5:C6)</f>
        <v>592796</v>
      </c>
      <c r="D7" s="57">
        <f t="shared" si="0"/>
        <v>609412</v>
      </c>
      <c r="E7" s="82">
        <f t="shared" si="0"/>
        <v>634669</v>
      </c>
      <c r="F7" s="82">
        <f t="shared" si="0"/>
        <v>663954</v>
      </c>
      <c r="G7" s="82">
        <f t="shared" si="0"/>
        <v>681034</v>
      </c>
      <c r="H7" s="82">
        <f t="shared" si="0"/>
        <v>723841</v>
      </c>
      <c r="I7" s="82">
        <f t="shared" si="0"/>
        <v>762148</v>
      </c>
      <c r="J7" s="82">
        <f t="shared" si="0"/>
        <v>816235</v>
      </c>
      <c r="K7" s="82">
        <f t="shared" si="0"/>
        <v>854434.71</v>
      </c>
      <c r="L7" s="82">
        <f t="shared" si="0"/>
        <v>882547.82999999984</v>
      </c>
      <c r="M7" s="82">
        <f>SUM(M5:M6)</f>
        <v>895711.52760000003</v>
      </c>
    </row>
    <row r="58" spans="1:49">
      <c r="B58" s="138"/>
    </row>
    <row r="59" spans="1:49" s="46" customFormat="1" ht="12.75" customHeight="1">
      <c r="A59" s="46" t="s">
        <v>82</v>
      </c>
      <c r="B59" s="121" t="s">
        <v>101</v>
      </c>
      <c r="C59" s="121" t="s">
        <v>102</v>
      </c>
      <c r="D59" s="121" t="s">
        <v>103</v>
      </c>
      <c r="E59" s="121" t="s">
        <v>104</v>
      </c>
      <c r="F59" s="121" t="s">
        <v>105</v>
      </c>
      <c r="G59" s="121" t="s">
        <v>106</v>
      </c>
      <c r="H59" s="121" t="s">
        <v>107</v>
      </c>
      <c r="I59" s="121" t="s">
        <v>108</v>
      </c>
      <c r="J59" s="139" t="s">
        <v>109</v>
      </c>
      <c r="K59" s="139" t="s">
        <v>110</v>
      </c>
      <c r="L59" s="139" t="s">
        <v>117</v>
      </c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</row>
    <row r="60" spans="1:49" s="48" customFormat="1" ht="10.5" customHeight="1">
      <c r="A60" s="48" t="s">
        <v>112</v>
      </c>
      <c r="B60" s="140">
        <v>592796</v>
      </c>
      <c r="C60" s="140">
        <v>609412</v>
      </c>
      <c r="D60" s="141">
        <v>634669</v>
      </c>
      <c r="E60" s="141">
        <v>663954</v>
      </c>
      <c r="F60" s="141">
        <v>681034</v>
      </c>
      <c r="G60" s="141">
        <v>723841</v>
      </c>
      <c r="H60" s="141">
        <v>762148</v>
      </c>
      <c r="I60" s="141">
        <v>816235</v>
      </c>
      <c r="J60" s="141">
        <v>854434.71</v>
      </c>
      <c r="K60" s="141">
        <v>882547.82999999984</v>
      </c>
      <c r="L60" s="141">
        <v>895711.52759999991</v>
      </c>
      <c r="M60" s="102"/>
    </row>
    <row r="76" spans="1:13">
      <c r="A76" t="s">
        <v>119</v>
      </c>
    </row>
    <row r="77" spans="1:13">
      <c r="A77" t="s">
        <v>118</v>
      </c>
    </row>
    <row r="78" spans="1:13">
      <c r="A78" s="104" t="s">
        <v>89</v>
      </c>
      <c r="B78" s="130" t="s">
        <v>10</v>
      </c>
      <c r="C78" s="114">
        <v>324982</v>
      </c>
      <c r="D78" s="114">
        <v>333566</v>
      </c>
      <c r="E78" s="115">
        <v>348309</v>
      </c>
      <c r="F78" s="115">
        <v>355568</v>
      </c>
      <c r="G78" s="115">
        <v>361966</v>
      </c>
      <c r="H78" s="115">
        <v>379796</v>
      </c>
      <c r="I78" s="115">
        <v>387040</v>
      </c>
      <c r="J78" s="115">
        <v>416019</v>
      </c>
      <c r="K78" s="115">
        <v>437142.53</v>
      </c>
      <c r="L78" s="115">
        <v>445653.69</v>
      </c>
      <c r="M78" s="115">
        <v>445653.69</v>
      </c>
    </row>
    <row r="79" spans="1:13">
      <c r="A79" s="56" t="s">
        <v>38</v>
      </c>
      <c r="B79" s="130" t="s">
        <v>10</v>
      </c>
      <c r="C79" s="112">
        <v>24440</v>
      </c>
      <c r="D79" s="112">
        <v>24967</v>
      </c>
      <c r="E79" s="113">
        <v>24928</v>
      </c>
      <c r="F79" s="113">
        <v>25421</v>
      </c>
      <c r="G79" s="113">
        <v>25117</v>
      </c>
      <c r="H79" s="113">
        <v>22729</v>
      </c>
      <c r="I79" s="113">
        <v>22156</v>
      </c>
      <c r="J79" s="113">
        <v>22000</v>
      </c>
      <c r="K79" s="113">
        <v>22033.27</v>
      </c>
      <c r="L79" s="113">
        <v>22910.29</v>
      </c>
      <c r="M79" s="113">
        <v>22910.29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workbookViewId="0">
      <selection activeCell="M17" sqref="M17"/>
    </sheetView>
  </sheetViews>
  <sheetFormatPr defaultRowHeight="12.75"/>
  <cols>
    <col min="1" max="1" width="14" bestFit="1" customWidth="1"/>
    <col min="2" max="2" width="29.7109375" customWidth="1"/>
  </cols>
  <sheetData>
    <row r="1" spans="1:13">
      <c r="A1" s="120" t="s">
        <v>99</v>
      </c>
      <c r="B1" s="124" t="s">
        <v>100</v>
      </c>
      <c r="C1" s="121" t="s">
        <v>101</v>
      </c>
      <c r="D1" s="121" t="s">
        <v>102</v>
      </c>
      <c r="E1" s="122" t="s">
        <v>103</v>
      </c>
      <c r="F1" s="122" t="s">
        <v>104</v>
      </c>
      <c r="G1" s="122" t="s">
        <v>105</v>
      </c>
      <c r="H1" s="122" t="s">
        <v>106</v>
      </c>
      <c r="I1" s="122" t="s">
        <v>107</v>
      </c>
      <c r="J1" s="122" t="s">
        <v>108</v>
      </c>
      <c r="K1" s="123" t="s">
        <v>109</v>
      </c>
      <c r="L1" s="123" t="s">
        <v>110</v>
      </c>
      <c r="M1" s="123" t="s">
        <v>117</v>
      </c>
    </row>
    <row r="2" spans="1:13">
      <c r="A2" s="103" t="s">
        <v>89</v>
      </c>
      <c r="B2" s="129" t="s">
        <v>58</v>
      </c>
      <c r="C2" s="110">
        <v>45551</v>
      </c>
      <c r="D2" s="110">
        <v>50358</v>
      </c>
      <c r="E2" s="111">
        <v>54126</v>
      </c>
      <c r="F2" s="111">
        <v>62143</v>
      </c>
      <c r="G2" s="111">
        <v>64722</v>
      </c>
      <c r="H2" s="111">
        <v>69169</v>
      </c>
      <c r="I2" s="111">
        <v>78068</v>
      </c>
      <c r="J2" s="111">
        <v>82008</v>
      </c>
      <c r="K2" s="111">
        <v>96557.959999999992</v>
      </c>
      <c r="L2" s="111">
        <v>98944.95</v>
      </c>
      <c r="M2" s="111">
        <v>98751.122700000007</v>
      </c>
    </row>
    <row r="3" spans="1:13">
      <c r="A3" s="104" t="s">
        <v>89</v>
      </c>
      <c r="B3" s="130" t="s">
        <v>5</v>
      </c>
      <c r="C3" s="114">
        <v>55410</v>
      </c>
      <c r="D3" s="114">
        <v>55553</v>
      </c>
      <c r="E3" s="115">
        <v>55849</v>
      </c>
      <c r="F3" s="115">
        <v>58234</v>
      </c>
      <c r="G3" s="115">
        <v>55747</v>
      </c>
      <c r="H3" s="115">
        <v>59198</v>
      </c>
      <c r="I3" s="115">
        <v>62513</v>
      </c>
      <c r="J3" s="115">
        <v>66699</v>
      </c>
      <c r="K3" s="115">
        <v>68837.399999999994</v>
      </c>
      <c r="L3" s="115">
        <v>75306.290000000008</v>
      </c>
      <c r="M3" s="115">
        <v>80738.149999999994</v>
      </c>
    </row>
    <row r="4" spans="1:13">
      <c r="A4" s="103" t="s">
        <v>89</v>
      </c>
      <c r="B4" s="129" t="s">
        <v>6</v>
      </c>
      <c r="C4" s="110">
        <v>33868</v>
      </c>
      <c r="D4" s="110">
        <v>34943</v>
      </c>
      <c r="E4" s="111">
        <v>34304</v>
      </c>
      <c r="F4" s="111">
        <v>36700</v>
      </c>
      <c r="G4" s="111">
        <v>37100</v>
      </c>
      <c r="H4" s="111">
        <v>38341</v>
      </c>
      <c r="I4" s="111">
        <v>37527</v>
      </c>
      <c r="J4" s="111">
        <v>38237</v>
      </c>
      <c r="K4" s="111">
        <v>38250.210000000006</v>
      </c>
      <c r="L4" s="111">
        <v>39154.82</v>
      </c>
      <c r="M4" s="111">
        <v>39447.339999999997</v>
      </c>
    </row>
    <row r="5" spans="1:13">
      <c r="A5" s="104" t="s">
        <v>89</v>
      </c>
      <c r="B5" s="130" t="s">
        <v>8</v>
      </c>
      <c r="C5" s="114">
        <v>61948</v>
      </c>
      <c r="D5" s="114">
        <v>62324</v>
      </c>
      <c r="E5" s="115">
        <v>65639</v>
      </c>
      <c r="F5" s="115">
        <v>70483</v>
      </c>
      <c r="G5" s="115">
        <v>75584</v>
      </c>
      <c r="H5" s="115">
        <v>83983</v>
      </c>
      <c r="I5" s="115">
        <v>91384</v>
      </c>
      <c r="J5" s="115">
        <v>97881</v>
      </c>
      <c r="K5" s="115">
        <v>102114.42</v>
      </c>
      <c r="L5" s="115">
        <v>109416.59</v>
      </c>
      <c r="M5" s="115">
        <v>115228.603</v>
      </c>
    </row>
    <row r="6" spans="1:13">
      <c r="A6" s="103" t="s">
        <v>89</v>
      </c>
      <c r="B6" s="129" t="s">
        <v>56</v>
      </c>
      <c r="C6" s="110">
        <v>62661</v>
      </c>
      <c r="D6" s="110">
        <v>63180</v>
      </c>
      <c r="E6" s="111">
        <v>67074</v>
      </c>
      <c r="F6" s="111">
        <v>72434</v>
      </c>
      <c r="G6" s="111">
        <v>76540</v>
      </c>
      <c r="H6" s="111">
        <v>82203</v>
      </c>
      <c r="I6" s="111">
        <v>89364</v>
      </c>
      <c r="J6" s="111">
        <v>96719</v>
      </c>
      <c r="K6" s="111">
        <v>102030.75</v>
      </c>
      <c r="L6" s="111">
        <v>104526.39</v>
      </c>
      <c r="M6" s="111">
        <v>99360.868000000002</v>
      </c>
    </row>
    <row r="7" spans="1:13">
      <c r="A7" s="104" t="s">
        <v>89</v>
      </c>
      <c r="B7" s="130" t="s">
        <v>10</v>
      </c>
      <c r="C7" s="114">
        <v>324982</v>
      </c>
      <c r="D7" s="114">
        <v>333566</v>
      </c>
      <c r="E7" s="115">
        <v>348309</v>
      </c>
      <c r="F7" s="115">
        <v>355568</v>
      </c>
      <c r="G7" s="115">
        <v>361966</v>
      </c>
      <c r="H7" s="115">
        <v>379796</v>
      </c>
      <c r="I7" s="115">
        <v>387040</v>
      </c>
      <c r="J7" s="115">
        <v>416019</v>
      </c>
      <c r="K7" s="115">
        <v>437142.53</v>
      </c>
      <c r="L7" s="115">
        <v>445653.69</v>
      </c>
      <c r="M7" s="115">
        <v>452950.69390000001</v>
      </c>
    </row>
    <row r="8" spans="1:13">
      <c r="A8" s="104"/>
      <c r="B8" s="130"/>
      <c r="C8" s="114"/>
      <c r="D8" s="114"/>
      <c r="E8" s="115"/>
      <c r="F8" s="115"/>
      <c r="G8" s="115"/>
      <c r="H8" s="115"/>
      <c r="I8" s="115"/>
      <c r="J8" s="115"/>
      <c r="K8" s="115"/>
      <c r="L8" s="115"/>
      <c r="M8" s="115"/>
    </row>
    <row r="9" spans="1:13">
      <c r="A9" s="104"/>
      <c r="B9" s="130"/>
      <c r="C9" s="114"/>
      <c r="D9" s="114"/>
      <c r="E9" s="115"/>
      <c r="F9" s="115"/>
      <c r="G9" s="115"/>
      <c r="H9" s="115"/>
      <c r="I9" s="115"/>
      <c r="J9" s="115"/>
      <c r="K9" s="115"/>
      <c r="L9" s="115"/>
      <c r="M9" s="115"/>
    </row>
    <row r="10" spans="1:13">
      <c r="A10" s="104"/>
      <c r="B10" s="130"/>
      <c r="C10" s="114"/>
      <c r="D10" s="114"/>
      <c r="E10" s="115"/>
      <c r="F10" s="115"/>
      <c r="G10" s="115"/>
      <c r="H10" s="115"/>
      <c r="I10" s="115"/>
      <c r="J10" s="115"/>
      <c r="K10" s="115"/>
      <c r="L10" s="115"/>
      <c r="M10" s="115"/>
    </row>
    <row r="11" spans="1:13">
      <c r="A11" s="120" t="s">
        <v>99</v>
      </c>
      <c r="B11" s="124" t="s">
        <v>100</v>
      </c>
      <c r="C11" s="121" t="s">
        <v>101</v>
      </c>
      <c r="D11" s="121" t="s">
        <v>102</v>
      </c>
      <c r="E11" s="122" t="s">
        <v>103</v>
      </c>
      <c r="F11" s="122" t="s">
        <v>104</v>
      </c>
      <c r="G11" s="122" t="s">
        <v>105</v>
      </c>
      <c r="H11" s="122" t="s">
        <v>106</v>
      </c>
      <c r="I11" s="122" t="s">
        <v>107</v>
      </c>
      <c r="J11" s="122" t="s">
        <v>108</v>
      </c>
      <c r="K11" s="123" t="s">
        <v>109</v>
      </c>
      <c r="L11" s="123" t="s">
        <v>110</v>
      </c>
      <c r="M11" s="123" t="s">
        <v>117</v>
      </c>
    </row>
    <row r="12" spans="1:13">
      <c r="A12" s="90" t="s">
        <v>38</v>
      </c>
      <c r="B12" s="129" t="s">
        <v>58</v>
      </c>
      <c r="C12" s="108">
        <v>11189</v>
      </c>
      <c r="D12" s="108">
        <v>11137</v>
      </c>
      <c r="E12" s="109">
        <v>11432</v>
      </c>
      <c r="F12" s="109">
        <v>11577</v>
      </c>
      <c r="G12" s="109">
        <v>11272</v>
      </c>
      <c r="H12" s="109">
        <v>9536</v>
      </c>
      <c r="I12" s="109">
        <v>10222</v>
      </c>
      <c r="J12" s="109">
        <v>10905</v>
      </c>
      <c r="K12" s="109">
        <v>12642.43</v>
      </c>
      <c r="L12" s="109">
        <v>12696.21</v>
      </c>
      <c r="M12" s="109">
        <v>12162.2909</v>
      </c>
    </row>
    <row r="13" spans="1:13">
      <c r="A13" s="56" t="s">
        <v>38</v>
      </c>
      <c r="B13" s="130" t="s">
        <v>5</v>
      </c>
      <c r="C13" s="112">
        <v>3998</v>
      </c>
      <c r="D13" s="112">
        <v>4324</v>
      </c>
      <c r="E13" s="113">
        <v>4758</v>
      </c>
      <c r="F13" s="113">
        <v>4896</v>
      </c>
      <c r="G13" s="113">
        <v>4626</v>
      </c>
      <c r="H13" s="113">
        <v>4483</v>
      </c>
      <c r="I13" s="113">
        <v>3987</v>
      </c>
      <c r="J13" s="113">
        <v>4173</v>
      </c>
      <c r="K13" s="113">
        <v>4905.3999999999996</v>
      </c>
      <c r="L13" s="113">
        <v>5767.24</v>
      </c>
      <c r="M13" s="113">
        <v>5691.7</v>
      </c>
    </row>
    <row r="14" spans="1:13">
      <c r="A14" s="90" t="s">
        <v>38</v>
      </c>
      <c r="B14" s="129" t="s">
        <v>6</v>
      </c>
      <c r="C14" s="108">
        <v>3215</v>
      </c>
      <c r="D14" s="108">
        <v>3666</v>
      </c>
      <c r="E14" s="109">
        <v>3857</v>
      </c>
      <c r="F14" s="109">
        <v>4183</v>
      </c>
      <c r="G14" s="109">
        <v>5725</v>
      </c>
      <c r="H14" s="109">
        <v>5565</v>
      </c>
      <c r="I14" s="109">
        <v>6642</v>
      </c>
      <c r="J14" s="109">
        <v>7204</v>
      </c>
      <c r="K14" s="109">
        <v>6836.25</v>
      </c>
      <c r="L14" s="109">
        <v>6667.25</v>
      </c>
      <c r="M14" s="109">
        <v>6557.25</v>
      </c>
    </row>
    <row r="15" spans="1:13">
      <c r="A15" s="56" t="s">
        <v>38</v>
      </c>
      <c r="B15" s="130" t="s">
        <v>8</v>
      </c>
      <c r="C15" s="112">
        <v>13834</v>
      </c>
      <c r="D15" s="112">
        <v>14892</v>
      </c>
      <c r="E15" s="113">
        <v>15230</v>
      </c>
      <c r="F15" s="113">
        <v>17050</v>
      </c>
      <c r="G15" s="113">
        <v>17181</v>
      </c>
      <c r="H15" s="113">
        <v>15487</v>
      </c>
      <c r="I15" s="113">
        <v>17484</v>
      </c>
      <c r="J15" s="113">
        <v>18520</v>
      </c>
      <c r="K15" s="113">
        <v>20741.120000000003</v>
      </c>
      <c r="L15" s="113">
        <v>22006.550000000003</v>
      </c>
      <c r="M15" s="113">
        <v>21877.035200000002</v>
      </c>
    </row>
    <row r="16" spans="1:13">
      <c r="A16" s="90" t="s">
        <v>38</v>
      </c>
      <c r="B16" s="129" t="s">
        <v>56</v>
      </c>
      <c r="C16" s="108">
        <v>8884</v>
      </c>
      <c r="D16" s="108">
        <v>9951</v>
      </c>
      <c r="E16" s="109">
        <v>11037</v>
      </c>
      <c r="F16" s="109">
        <v>12626</v>
      </c>
      <c r="G16" s="109">
        <v>13050</v>
      </c>
      <c r="H16" s="109">
        <v>14374</v>
      </c>
      <c r="I16" s="109">
        <v>14088</v>
      </c>
      <c r="J16" s="109">
        <v>14170</v>
      </c>
      <c r="K16" s="109">
        <v>14906.849999999999</v>
      </c>
      <c r="L16" s="109">
        <v>14415.68</v>
      </c>
      <c r="M16" s="109">
        <v>12814.149900000002</v>
      </c>
    </row>
    <row r="17" spans="1:13">
      <c r="A17" s="56" t="s">
        <v>38</v>
      </c>
      <c r="B17" s="130" t="s">
        <v>10</v>
      </c>
      <c r="C17" s="112">
        <v>24440</v>
      </c>
      <c r="D17" s="112">
        <v>24967</v>
      </c>
      <c r="E17" s="113">
        <v>24928</v>
      </c>
      <c r="F17" s="113">
        <v>25421</v>
      </c>
      <c r="G17" s="113">
        <v>25117</v>
      </c>
      <c r="H17" s="113">
        <v>22729</v>
      </c>
      <c r="I17" s="113">
        <v>22156</v>
      </c>
      <c r="J17" s="113">
        <v>22000</v>
      </c>
      <c r="K17" s="113">
        <v>22033.27</v>
      </c>
      <c r="L17" s="113">
        <v>22910.29</v>
      </c>
      <c r="M17" s="113">
        <v>22667.9879</v>
      </c>
    </row>
    <row r="45" spans="1:13">
      <c r="A45" t="s">
        <v>119</v>
      </c>
    </row>
    <row r="46" spans="1:13">
      <c r="A46" t="s">
        <v>118</v>
      </c>
    </row>
    <row r="47" spans="1:13">
      <c r="A47" s="104" t="s">
        <v>89</v>
      </c>
      <c r="B47" s="130" t="s">
        <v>10</v>
      </c>
      <c r="C47" s="114">
        <v>324982</v>
      </c>
      <c r="D47" s="114">
        <v>333566</v>
      </c>
      <c r="E47" s="115">
        <v>348309</v>
      </c>
      <c r="F47" s="115">
        <v>355568</v>
      </c>
      <c r="G47" s="115">
        <v>361966</v>
      </c>
      <c r="H47" s="115">
        <v>379796</v>
      </c>
      <c r="I47" s="115">
        <v>387040</v>
      </c>
      <c r="J47" s="115">
        <v>416019</v>
      </c>
      <c r="K47" s="115">
        <v>437142.53</v>
      </c>
      <c r="L47" s="115">
        <v>445653.69</v>
      </c>
      <c r="M47" s="115">
        <v>445653.69</v>
      </c>
    </row>
    <row r="48" spans="1:13">
      <c r="A48" s="56" t="s">
        <v>38</v>
      </c>
      <c r="B48" s="130" t="s">
        <v>10</v>
      </c>
      <c r="C48" s="112">
        <v>24440</v>
      </c>
      <c r="D48" s="112">
        <v>24967</v>
      </c>
      <c r="E48" s="113">
        <v>24928</v>
      </c>
      <c r="F48" s="113">
        <v>25421</v>
      </c>
      <c r="G48" s="113">
        <v>25117</v>
      </c>
      <c r="H48" s="113">
        <v>22729</v>
      </c>
      <c r="I48" s="113">
        <v>22156</v>
      </c>
      <c r="J48" s="113">
        <v>22000</v>
      </c>
      <c r="K48" s="113">
        <v>22033.27</v>
      </c>
      <c r="L48" s="113">
        <v>22910.29</v>
      </c>
      <c r="M48" s="113">
        <v>22910.29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workbookViewId="0">
      <selection activeCell="J20" sqref="J20"/>
    </sheetView>
  </sheetViews>
  <sheetFormatPr defaultRowHeight="12.75"/>
  <cols>
    <col min="1" max="1" width="14" bestFit="1" customWidth="1"/>
    <col min="2" max="2" width="29.7109375" customWidth="1"/>
  </cols>
  <sheetData>
    <row r="1" spans="1:13">
      <c r="A1" s="104"/>
      <c r="B1" s="130"/>
      <c r="C1" s="114"/>
      <c r="D1" s="114"/>
      <c r="E1" s="115"/>
      <c r="F1" s="115"/>
      <c r="G1" s="115"/>
      <c r="H1" s="115"/>
      <c r="I1" s="115"/>
      <c r="J1" s="115"/>
      <c r="K1" s="115"/>
      <c r="L1" s="115"/>
    </row>
    <row r="2" spans="1:13">
      <c r="A2" s="104"/>
      <c r="B2" s="130"/>
      <c r="C2" s="114"/>
      <c r="D2" s="114"/>
      <c r="E2" s="115"/>
      <c r="F2" s="115"/>
      <c r="G2" s="115"/>
      <c r="H2" s="115"/>
      <c r="I2" s="115"/>
      <c r="J2" s="115"/>
      <c r="K2" s="115"/>
      <c r="L2" s="115"/>
    </row>
    <row r="3" spans="1:13">
      <c r="A3" s="104"/>
      <c r="B3" s="130"/>
      <c r="C3" s="114"/>
      <c r="D3" s="114"/>
      <c r="E3" s="115"/>
      <c r="F3" s="115"/>
      <c r="G3" s="115"/>
      <c r="H3" s="115"/>
      <c r="I3" s="115"/>
      <c r="J3" s="115"/>
      <c r="K3" s="115"/>
      <c r="L3" s="115"/>
    </row>
    <row r="4" spans="1:13">
      <c r="A4" s="120" t="s">
        <v>99</v>
      </c>
      <c r="B4" s="124" t="s">
        <v>100</v>
      </c>
      <c r="C4" s="121" t="s">
        <v>101</v>
      </c>
      <c r="D4" s="121" t="s">
        <v>102</v>
      </c>
      <c r="E4" s="122" t="s">
        <v>103</v>
      </c>
      <c r="F4" s="122" t="s">
        <v>104</v>
      </c>
      <c r="G4" s="122" t="s">
        <v>105</v>
      </c>
      <c r="H4" s="122" t="s">
        <v>106</v>
      </c>
      <c r="I4" s="122" t="s">
        <v>107</v>
      </c>
      <c r="J4" s="122" t="s">
        <v>108</v>
      </c>
      <c r="K4" s="123" t="s">
        <v>109</v>
      </c>
      <c r="L4" s="123" t="s">
        <v>110</v>
      </c>
      <c r="M4" s="123" t="s">
        <v>117</v>
      </c>
    </row>
    <row r="5" spans="1:13" s="48" customFormat="1" ht="10.5" customHeight="1">
      <c r="A5" s="58" t="s">
        <v>38</v>
      </c>
      <c r="B5" s="48" t="s">
        <v>22</v>
      </c>
      <c r="C5" s="57">
        <v>68483</v>
      </c>
      <c r="D5" s="57">
        <v>72451</v>
      </c>
      <c r="E5" s="82">
        <v>74687</v>
      </c>
      <c r="F5" s="82">
        <v>79370</v>
      </c>
      <c r="G5" s="82">
        <v>80669</v>
      </c>
      <c r="H5" s="82">
        <v>76869</v>
      </c>
      <c r="I5" s="82">
        <v>78173</v>
      </c>
      <c r="J5" s="82">
        <v>81196</v>
      </c>
      <c r="K5" s="82">
        <v>82751.22</v>
      </c>
      <c r="L5" s="82">
        <v>85173.390000000014</v>
      </c>
      <c r="M5" s="82">
        <v>82432.16339999999</v>
      </c>
    </row>
    <row r="59" spans="1:12">
      <c r="A59" t="s">
        <v>119</v>
      </c>
    </row>
    <row r="60" spans="1:12">
      <c r="A60" t="s">
        <v>118</v>
      </c>
    </row>
    <row r="61" spans="1:12">
      <c r="A61" s="104" t="s">
        <v>89</v>
      </c>
      <c r="B61" s="130" t="s">
        <v>10</v>
      </c>
      <c r="C61" s="114">
        <v>324982</v>
      </c>
      <c r="D61" s="114">
        <v>333566</v>
      </c>
      <c r="E61" s="115">
        <v>348309</v>
      </c>
      <c r="F61" s="115">
        <v>355568</v>
      </c>
      <c r="G61" s="115">
        <v>361966</v>
      </c>
      <c r="H61" s="115">
        <v>379796</v>
      </c>
      <c r="I61" s="115">
        <v>387040</v>
      </c>
      <c r="J61" s="115">
        <v>416019</v>
      </c>
      <c r="K61" s="115">
        <v>437142.53</v>
      </c>
      <c r="L61" s="115">
        <v>445653.69</v>
      </c>
    </row>
    <row r="62" spans="1:12">
      <c r="A62" s="56" t="s">
        <v>38</v>
      </c>
      <c r="B62" s="130" t="s">
        <v>10</v>
      </c>
      <c r="C62" s="112">
        <v>24440</v>
      </c>
      <c r="D62" s="112">
        <v>24967</v>
      </c>
      <c r="E62" s="113">
        <v>24928</v>
      </c>
      <c r="F62" s="113">
        <v>25421</v>
      </c>
      <c r="G62" s="113">
        <v>25117</v>
      </c>
      <c r="H62" s="113">
        <v>22729</v>
      </c>
      <c r="I62" s="113">
        <v>22156</v>
      </c>
      <c r="J62" s="113">
        <v>22000</v>
      </c>
      <c r="K62" s="113">
        <v>22033.27</v>
      </c>
      <c r="L62" s="113">
        <v>22910.29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SCH College Level FY</vt:lpstr>
      <vt:lpstr>wkg for pie</vt:lpstr>
      <vt:lpstr>wkg for UG Line</vt:lpstr>
      <vt:lpstr>wkg for UG Bar</vt:lpstr>
      <vt:lpstr>wkg for grad line</vt:lpstr>
      <vt:lpstr>wkg for Grad bar</vt:lpstr>
      <vt:lpstr>'SCH College Level FY'!Print_Area</vt:lpstr>
      <vt:lpstr>'wkg for pie'!Print_Area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A310WD</dc:creator>
  <cp:lastModifiedBy>Johnson, Janet [I RES]</cp:lastModifiedBy>
  <cp:lastPrinted>2017-12-12T21:59:17Z</cp:lastPrinted>
  <dcterms:created xsi:type="dcterms:W3CDTF">1999-06-21T14:08:50Z</dcterms:created>
  <dcterms:modified xsi:type="dcterms:W3CDTF">2017-12-12T22:23:55Z</dcterms:modified>
</cp:coreProperties>
</file>