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9477942B-10D3-4566-AA88-660F33D36E7E}" xr6:coauthVersionLast="47" xr6:coauthVersionMax="47" xr10:uidLastSave="{00000000-0000-0000-0000-000000000000}"/>
  <bookViews>
    <workbookView xWindow="29970" yWindow="1170" windowWidth="24000" windowHeight="15600" tabRatio="884" xr2:uid="{00000000-000D-0000-FFFF-FFFF00000000}"/>
  </bookViews>
  <sheets>
    <sheet name="Personnel Headcount FTE College" sheetId="1" r:id="rId1"/>
  </sheets>
  <definedNames>
    <definedName name="_xlnm.Print_Area" localSheetId="0">'Personnel Headcount FTE College'!$A$1:$BW$96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78" i="1" l="1"/>
  <c r="BS84" i="1"/>
  <c r="BR84" i="1"/>
  <c r="BS83" i="1"/>
  <c r="BR83" i="1"/>
  <c r="BS82" i="1"/>
  <c r="BR82" i="1"/>
  <c r="BS81" i="1"/>
  <c r="BR81" i="1"/>
  <c r="BS80" i="1"/>
  <c r="BR80" i="1"/>
  <c r="BS79" i="1"/>
  <c r="BR79" i="1"/>
  <c r="BS78" i="1"/>
  <c r="BR78" i="1"/>
  <c r="BS68" i="1"/>
  <c r="BR68" i="1"/>
  <c r="BS60" i="1"/>
  <c r="BR60" i="1"/>
  <c r="BS46" i="1"/>
  <c r="BR46" i="1"/>
  <c r="BS38" i="1"/>
  <c r="BR38" i="1"/>
  <c r="BS30" i="1"/>
  <c r="BR30" i="1"/>
  <c r="BS22" i="1"/>
  <c r="BR22" i="1"/>
  <c r="BS14" i="1"/>
  <c r="BR14" i="1"/>
  <c r="BS6" i="1"/>
  <c r="BR6" i="1"/>
  <c r="BP84" i="1"/>
  <c r="BO84" i="1"/>
  <c r="BP83" i="1"/>
  <c r="BO83" i="1"/>
  <c r="BP82" i="1"/>
  <c r="BO82" i="1"/>
  <c r="BP81" i="1"/>
  <c r="BO81" i="1"/>
  <c r="BP80" i="1"/>
  <c r="BO80" i="1"/>
  <c r="BP79" i="1"/>
  <c r="BO79" i="1"/>
  <c r="BP78" i="1"/>
  <c r="BO78" i="1"/>
  <c r="BP68" i="1"/>
  <c r="BO68" i="1"/>
  <c r="BP60" i="1"/>
  <c r="BO60" i="1"/>
  <c r="BP46" i="1"/>
  <c r="BO46" i="1"/>
  <c r="BP38" i="1"/>
  <c r="BO38" i="1"/>
  <c r="BP30" i="1"/>
  <c r="BO30" i="1"/>
  <c r="BP22" i="1"/>
  <c r="BO22" i="1"/>
  <c r="BP14" i="1"/>
  <c r="BO14" i="1"/>
  <c r="BP6" i="1"/>
  <c r="BO6" i="1"/>
  <c r="BU78" i="1"/>
  <c r="BU6" i="1"/>
  <c r="BR77" i="1" l="1"/>
  <c r="BS77" i="1"/>
  <c r="BO77" i="1"/>
  <c r="BP77" i="1"/>
  <c r="BM84" i="1"/>
  <c r="BL84" i="1"/>
  <c r="BM83" i="1"/>
  <c r="BL83" i="1"/>
  <c r="BM82" i="1"/>
  <c r="BL82" i="1"/>
  <c r="BM81" i="1"/>
  <c r="BL81" i="1"/>
  <c r="BM80" i="1"/>
  <c r="BL80" i="1"/>
  <c r="BM79" i="1"/>
  <c r="BL79" i="1"/>
  <c r="BM78" i="1"/>
  <c r="BL78" i="1"/>
  <c r="BM68" i="1"/>
  <c r="BL68" i="1"/>
  <c r="BM60" i="1"/>
  <c r="BL60" i="1"/>
  <c r="BM46" i="1"/>
  <c r="BL46" i="1"/>
  <c r="BM38" i="1"/>
  <c r="BL38" i="1"/>
  <c r="BM30" i="1"/>
  <c r="BL30" i="1"/>
  <c r="BM22" i="1"/>
  <c r="BL22" i="1"/>
  <c r="BM14" i="1"/>
  <c r="BL14" i="1"/>
  <c r="BM6" i="1"/>
  <c r="BL6" i="1"/>
  <c r="BM77" i="1" l="1"/>
  <c r="BL77" i="1"/>
  <c r="BV84" i="1"/>
  <c r="BV83" i="1"/>
  <c r="BV82" i="1"/>
  <c r="BV81" i="1"/>
  <c r="BV80" i="1"/>
  <c r="BV79" i="1"/>
  <c r="BU83" i="1"/>
  <c r="BU84" i="1"/>
  <c r="BU82" i="1"/>
  <c r="BU81" i="1"/>
  <c r="BU80" i="1"/>
  <c r="BU79" i="1"/>
  <c r="BV68" i="1"/>
  <c r="BU68" i="1"/>
  <c r="BV60" i="1"/>
  <c r="BU60" i="1"/>
  <c r="BV46" i="1"/>
  <c r="BU46" i="1"/>
  <c r="BV22" i="1"/>
  <c r="BU22" i="1"/>
  <c r="BV6" i="1"/>
  <c r="BV14" i="1"/>
  <c r="BU14" i="1"/>
  <c r="BV38" i="1" l="1"/>
  <c r="BU38" i="1"/>
  <c r="BU30" i="1"/>
  <c r="BV30" i="1"/>
  <c r="BV77" i="1" s="1"/>
  <c r="BU77" i="1" l="1"/>
  <c r="BJ84" i="1"/>
  <c r="BI84" i="1"/>
  <c r="BJ83" i="1"/>
  <c r="BI83" i="1"/>
  <c r="BJ82" i="1"/>
  <c r="BI82" i="1"/>
  <c r="BJ81" i="1"/>
  <c r="BI81" i="1"/>
  <c r="BJ80" i="1"/>
  <c r="BI80" i="1"/>
  <c r="BJ79" i="1"/>
  <c r="BI79" i="1"/>
  <c r="BJ78" i="1"/>
  <c r="BI78" i="1"/>
  <c r="BJ68" i="1"/>
  <c r="BI68" i="1"/>
  <c r="BJ60" i="1"/>
  <c r="BI60" i="1"/>
  <c r="BJ46" i="1"/>
  <c r="BI46" i="1"/>
  <c r="BJ38" i="1"/>
  <c r="BI38" i="1"/>
  <c r="BJ30" i="1"/>
  <c r="BI30" i="1"/>
  <c r="BJ22" i="1"/>
  <c r="BI22" i="1"/>
  <c r="BJ14" i="1"/>
  <c r="BI14" i="1"/>
  <c r="BJ6" i="1"/>
  <c r="BI6" i="1"/>
  <c r="BJ77" i="1" l="1"/>
  <c r="BI77" i="1"/>
  <c r="BF46" i="1" l="1"/>
  <c r="BF22" i="1"/>
  <c r="BG84" i="1" l="1"/>
  <c r="BG83" i="1"/>
  <c r="BG82" i="1"/>
  <c r="BG81" i="1"/>
  <c r="BG80" i="1"/>
  <c r="BG79" i="1"/>
  <c r="BG78" i="1"/>
  <c r="BF84" i="1"/>
  <c r="BF83" i="1"/>
  <c r="BF82" i="1"/>
  <c r="BF81" i="1"/>
  <c r="BF80" i="1"/>
  <c r="BF79" i="1"/>
  <c r="BF78" i="1"/>
  <c r="BF68" i="1"/>
  <c r="BG68" i="1"/>
  <c r="BG60" i="1"/>
  <c r="BF60" i="1"/>
  <c r="BG46" i="1"/>
  <c r="BG38" i="1"/>
  <c r="BF38" i="1"/>
  <c r="BG30" i="1"/>
  <c r="BF30" i="1"/>
  <c r="BF14" i="1"/>
  <c r="BF6" i="1"/>
  <c r="BG6" i="1"/>
  <c r="BF77" i="1" l="1"/>
  <c r="BG22" i="1"/>
  <c r="BG14" i="1"/>
  <c r="BG77" i="1" l="1"/>
  <c r="BC79" i="1"/>
  <c r="BC78" i="1"/>
  <c r="BD78" i="1"/>
  <c r="BD79" i="1" l="1"/>
  <c r="BD84" i="1" l="1"/>
  <c r="BC68" i="1" l="1"/>
  <c r="BD68" i="1"/>
  <c r="BC60" i="1"/>
  <c r="BD60" i="1"/>
  <c r="BC46" i="1"/>
  <c r="BD46" i="1"/>
  <c r="BC38" i="1"/>
  <c r="BD38" i="1"/>
  <c r="BC30" i="1"/>
  <c r="BD30" i="1"/>
  <c r="BC22" i="1"/>
  <c r="BD22" i="1"/>
  <c r="BD14" i="1"/>
  <c r="BC14" i="1"/>
  <c r="BD6" i="1"/>
  <c r="BC6" i="1"/>
  <c r="BD83" i="1"/>
  <c r="BC84" i="1"/>
  <c r="BC83" i="1"/>
  <c r="BC82" i="1"/>
  <c r="BD82" i="1"/>
  <c r="BD81" i="1"/>
  <c r="BA80" i="1"/>
  <c r="BD80" i="1"/>
  <c r="BC77" i="1" l="1"/>
  <c r="BD77" i="1"/>
  <c r="BC81" i="1"/>
  <c r="BC80" i="1"/>
  <c r="BA38" i="1" l="1"/>
  <c r="AZ68" i="1" l="1"/>
  <c r="AZ60" i="1"/>
  <c r="AZ46" i="1" l="1"/>
  <c r="AZ38" i="1"/>
  <c r="AZ30" i="1"/>
  <c r="AZ22" i="1"/>
  <c r="AZ14" i="1"/>
  <c r="AZ6" i="1"/>
  <c r="BA84" i="1" l="1"/>
  <c r="BA83" i="1"/>
  <c r="BA82" i="1"/>
  <c r="BA81" i="1"/>
  <c r="BA79" i="1"/>
  <c r="BA78" i="1"/>
  <c r="AZ84" i="1"/>
  <c r="AZ83" i="1"/>
  <c r="AZ82" i="1"/>
  <c r="AZ81" i="1"/>
  <c r="AZ80" i="1"/>
  <c r="AZ79" i="1"/>
  <c r="AZ78" i="1"/>
  <c r="BA68" i="1"/>
  <c r="BA60" i="1"/>
  <c r="BA46" i="1"/>
  <c r="BA30" i="1"/>
  <c r="BA22" i="1"/>
  <c r="BA14" i="1"/>
  <c r="BA6" i="1"/>
  <c r="AZ77" i="1" l="1"/>
  <c r="BA77" i="1"/>
  <c r="AX84" i="1" l="1"/>
  <c r="AW84" i="1"/>
  <c r="AX83" i="1"/>
  <c r="AW83" i="1"/>
  <c r="AX82" i="1"/>
  <c r="AW82" i="1"/>
  <c r="AX81" i="1"/>
  <c r="AW81" i="1"/>
  <c r="AX80" i="1"/>
  <c r="AW80" i="1"/>
  <c r="AX79" i="1"/>
  <c r="AW79" i="1"/>
  <c r="AX68" i="1"/>
  <c r="AW68" i="1"/>
  <c r="AX61" i="1"/>
  <c r="AW61" i="1"/>
  <c r="AW60" i="1" s="1"/>
  <c r="AX47" i="1"/>
  <c r="AX46" i="1" s="1"/>
  <c r="AW47" i="1"/>
  <c r="AW46" i="1" s="1"/>
  <c r="AX39" i="1"/>
  <c r="AX38" i="1" s="1"/>
  <c r="AW39" i="1"/>
  <c r="AW38" i="1" s="1"/>
  <c r="AX31" i="1"/>
  <c r="AX30" i="1" s="1"/>
  <c r="AW31" i="1"/>
  <c r="AW30" i="1" s="1"/>
  <c r="AW23" i="1"/>
  <c r="AW22" i="1" s="1"/>
  <c r="AX22" i="1"/>
  <c r="AW15" i="1"/>
  <c r="AX14" i="1"/>
  <c r="AW7" i="1"/>
  <c r="AW6" i="1" s="1"/>
  <c r="AX6" i="1"/>
  <c r="AV84" i="1"/>
  <c r="AU84" i="1"/>
  <c r="AV83" i="1"/>
  <c r="AU83" i="1"/>
  <c r="AV82" i="1"/>
  <c r="AU82" i="1"/>
  <c r="AV81" i="1"/>
  <c r="AU81" i="1"/>
  <c r="AV80" i="1"/>
  <c r="AU80" i="1"/>
  <c r="AV79" i="1"/>
  <c r="AU79" i="1"/>
  <c r="AV78" i="1"/>
  <c r="AU78" i="1"/>
  <c r="AV68" i="1"/>
  <c r="AU68" i="1"/>
  <c r="AV60" i="1"/>
  <c r="AU60" i="1"/>
  <c r="AV46" i="1"/>
  <c r="AU46" i="1"/>
  <c r="AV38" i="1"/>
  <c r="AU38" i="1"/>
  <c r="AV30" i="1"/>
  <c r="AU30" i="1"/>
  <c r="AV22" i="1"/>
  <c r="AU22" i="1"/>
  <c r="AV14" i="1"/>
  <c r="AU14" i="1"/>
  <c r="AV6" i="1"/>
  <c r="AU6" i="1"/>
  <c r="AS84" i="1"/>
  <c r="AR84" i="1"/>
  <c r="AS83" i="1"/>
  <c r="AR83" i="1"/>
  <c r="AS82" i="1"/>
  <c r="AR82" i="1"/>
  <c r="AS81" i="1"/>
  <c r="AR81" i="1"/>
  <c r="AS80" i="1"/>
  <c r="AR80" i="1"/>
  <c r="AS79" i="1"/>
  <c r="AR79" i="1"/>
  <c r="AS78" i="1"/>
  <c r="AR78" i="1"/>
  <c r="AS68" i="1"/>
  <c r="AR68" i="1"/>
  <c r="AS60" i="1"/>
  <c r="AR60" i="1"/>
  <c r="AS46" i="1"/>
  <c r="AR46" i="1"/>
  <c r="AS38" i="1"/>
  <c r="AR38" i="1"/>
  <c r="AS30" i="1"/>
  <c r="AR30" i="1"/>
  <c r="AS22" i="1"/>
  <c r="AR22" i="1"/>
  <c r="AS14" i="1"/>
  <c r="AR14" i="1"/>
  <c r="AS6" i="1"/>
  <c r="AR6" i="1"/>
  <c r="AX60" i="1" l="1"/>
  <c r="AX78" i="1"/>
  <c r="AX77" i="1" s="1"/>
  <c r="AU77" i="1"/>
  <c r="AV77" i="1"/>
  <c r="AR77" i="1"/>
  <c r="AW78" i="1"/>
  <c r="AW77" i="1" s="1"/>
  <c r="AS77" i="1"/>
  <c r="AW14" i="1"/>
  <c r="AP79" i="1" l="1"/>
  <c r="AP84" i="1" l="1"/>
  <c r="AO84" i="1"/>
  <c r="AP83" i="1"/>
  <c r="AO83" i="1"/>
  <c r="AP82" i="1"/>
  <c r="AO82" i="1"/>
  <c r="AP81" i="1"/>
  <c r="AO81" i="1"/>
  <c r="AP80" i="1"/>
  <c r="AO80" i="1"/>
  <c r="AO79" i="1"/>
  <c r="AP78" i="1"/>
  <c r="AO78" i="1"/>
  <c r="AP68" i="1"/>
  <c r="AO68" i="1"/>
  <c r="AP60" i="1"/>
  <c r="AO60" i="1"/>
  <c r="AP46" i="1"/>
  <c r="AO46" i="1"/>
  <c r="AP38" i="1"/>
  <c r="AO38" i="1"/>
  <c r="AP30" i="1"/>
  <c r="AO30" i="1"/>
  <c r="AP22" i="1"/>
  <c r="AO22" i="1"/>
  <c r="AP14" i="1"/>
  <c r="AO14" i="1"/>
  <c r="AP6" i="1"/>
  <c r="AO6" i="1"/>
  <c r="AO77" i="1" l="1"/>
  <c r="AP77" i="1"/>
  <c r="AM84" i="1" l="1"/>
  <c r="AL84" i="1"/>
  <c r="AM83" i="1"/>
  <c r="AL83" i="1"/>
  <c r="AM82" i="1"/>
  <c r="AL82" i="1"/>
  <c r="AM81" i="1"/>
  <c r="AL81" i="1"/>
  <c r="AM80" i="1"/>
  <c r="AL80" i="1"/>
  <c r="AM79" i="1"/>
  <c r="AL79" i="1"/>
  <c r="AM78" i="1"/>
  <c r="AL78" i="1"/>
  <c r="AM68" i="1"/>
  <c r="AL68" i="1"/>
  <c r="AM60" i="1"/>
  <c r="AL60" i="1"/>
  <c r="AM46" i="1"/>
  <c r="AL46" i="1"/>
  <c r="AM38" i="1"/>
  <c r="AL38" i="1"/>
  <c r="AM30" i="1"/>
  <c r="AL30" i="1"/>
  <c r="AM22" i="1"/>
  <c r="AL22" i="1"/>
  <c r="AM14" i="1"/>
  <c r="AL14" i="1"/>
  <c r="AM6" i="1"/>
  <c r="AL6" i="1"/>
  <c r="AL77" i="1" l="1"/>
  <c r="AM77" i="1"/>
  <c r="AJ84" i="1"/>
  <c r="AI84" i="1"/>
  <c r="AJ83" i="1"/>
  <c r="AI83" i="1"/>
  <c r="AJ82" i="1"/>
  <c r="AI82" i="1"/>
  <c r="AJ81" i="1"/>
  <c r="AI81" i="1"/>
  <c r="AJ80" i="1"/>
  <c r="AI80" i="1"/>
  <c r="AJ79" i="1"/>
  <c r="AI79" i="1"/>
  <c r="AJ78" i="1"/>
  <c r="AI78" i="1"/>
  <c r="AJ68" i="1"/>
  <c r="AI68" i="1"/>
  <c r="AH68" i="1"/>
  <c r="AJ60" i="1"/>
  <c r="AI60" i="1"/>
  <c r="AH60" i="1"/>
  <c r="AJ46" i="1"/>
  <c r="AI46" i="1"/>
  <c r="AH46" i="1"/>
  <c r="AJ38" i="1"/>
  <c r="AI38" i="1"/>
  <c r="AH38" i="1"/>
  <c r="AJ30" i="1"/>
  <c r="AI30" i="1"/>
  <c r="AH30" i="1"/>
  <c r="AJ22" i="1"/>
  <c r="AI22" i="1"/>
  <c r="AH22" i="1"/>
  <c r="AJ14" i="1"/>
  <c r="AI14" i="1"/>
  <c r="AH14" i="1"/>
  <c r="AJ6" i="1"/>
  <c r="AI6" i="1"/>
  <c r="AH6" i="1"/>
  <c r="AK68" i="1"/>
  <c r="AK60" i="1"/>
  <c r="AK46" i="1"/>
  <c r="AK38" i="1"/>
  <c r="AK30" i="1"/>
  <c r="AK22" i="1"/>
  <c r="AK14" i="1"/>
  <c r="AK6" i="1"/>
  <c r="AG84" i="1"/>
  <c r="AF84" i="1"/>
  <c r="AG83" i="1"/>
  <c r="AF83" i="1"/>
  <c r="AG82" i="1"/>
  <c r="AF82" i="1"/>
  <c r="AG81" i="1"/>
  <c r="AF81" i="1"/>
  <c r="AG80" i="1"/>
  <c r="AF80" i="1"/>
  <c r="AF79" i="1"/>
  <c r="AG78" i="1"/>
  <c r="AF78" i="1"/>
  <c r="AG68" i="1"/>
  <c r="AF68" i="1"/>
  <c r="AE68" i="1"/>
  <c r="AG60" i="1"/>
  <c r="AF60" i="1"/>
  <c r="AE60" i="1"/>
  <c r="AG46" i="1"/>
  <c r="AF46" i="1"/>
  <c r="AE46" i="1"/>
  <c r="AG38" i="1"/>
  <c r="AF38" i="1"/>
  <c r="AE38" i="1"/>
  <c r="AG30" i="1"/>
  <c r="AF30" i="1"/>
  <c r="AE30" i="1"/>
  <c r="AG22" i="1"/>
  <c r="AF22" i="1"/>
  <c r="AE22" i="1"/>
  <c r="AG14" i="1"/>
  <c r="AF14" i="1"/>
  <c r="AE14" i="1"/>
  <c r="AG6" i="1"/>
  <c r="AF6" i="1"/>
  <c r="AE6" i="1"/>
  <c r="R84" i="1"/>
  <c r="Q84" i="1"/>
  <c r="R83" i="1"/>
  <c r="Q83" i="1"/>
  <c r="R82" i="1"/>
  <c r="Q82" i="1"/>
  <c r="R81" i="1"/>
  <c r="Q81" i="1"/>
  <c r="R80" i="1"/>
  <c r="Q80" i="1"/>
  <c r="R62" i="1"/>
  <c r="R48" i="1"/>
  <c r="R39" i="1"/>
  <c r="R32" i="1"/>
  <c r="R24" i="1"/>
  <c r="R16" i="1"/>
  <c r="R8" i="1"/>
  <c r="Q62" i="1"/>
  <c r="Q60" i="1" s="1"/>
  <c r="Q48" i="1"/>
  <c r="Q39" i="1"/>
  <c r="Q40" i="1" s="1"/>
  <c r="Q38" i="1" s="1"/>
  <c r="Q32" i="1"/>
  <c r="Q24" i="1"/>
  <c r="Q16" i="1"/>
  <c r="Q7" i="1"/>
  <c r="Q8" i="1" s="1"/>
  <c r="R61" i="1"/>
  <c r="R47" i="1"/>
  <c r="R31" i="1"/>
  <c r="R23" i="1"/>
  <c r="R15" i="1"/>
  <c r="R7" i="1"/>
  <c r="Q47" i="1"/>
  <c r="Q31" i="1"/>
  <c r="Q23" i="1"/>
  <c r="Q15" i="1"/>
  <c r="U84" i="1"/>
  <c r="T84" i="1"/>
  <c r="U83" i="1"/>
  <c r="T83" i="1"/>
  <c r="U82" i="1"/>
  <c r="T82" i="1"/>
  <c r="U81" i="1"/>
  <c r="T81" i="1"/>
  <c r="U80" i="1"/>
  <c r="T80" i="1"/>
  <c r="U62" i="1"/>
  <c r="U48" i="1"/>
  <c r="U39" i="1"/>
  <c r="U40" i="1" s="1"/>
  <c r="U32" i="1"/>
  <c r="U24" i="1"/>
  <c r="U16" i="1"/>
  <c r="U7" i="1"/>
  <c r="U8" i="1" s="1"/>
  <c r="U6" i="1" s="1"/>
  <c r="T62" i="1"/>
  <c r="T48" i="1"/>
  <c r="T39" i="1"/>
  <c r="T40" i="1" s="1"/>
  <c r="T32" i="1"/>
  <c r="T24" i="1"/>
  <c r="T16" i="1"/>
  <c r="T7" i="1"/>
  <c r="T8" i="1" s="1"/>
  <c r="T6" i="1" s="1"/>
  <c r="U61" i="1"/>
  <c r="U47" i="1"/>
  <c r="U31" i="1"/>
  <c r="U23" i="1"/>
  <c r="U15" i="1"/>
  <c r="T61" i="1"/>
  <c r="T47" i="1"/>
  <c r="T31" i="1"/>
  <c r="T23" i="1"/>
  <c r="T15" i="1"/>
  <c r="X84" i="1"/>
  <c r="W84" i="1"/>
  <c r="X83" i="1"/>
  <c r="W83" i="1"/>
  <c r="X82" i="1"/>
  <c r="W82" i="1"/>
  <c r="X81" i="1"/>
  <c r="W81" i="1"/>
  <c r="X80" i="1"/>
  <c r="W80" i="1"/>
  <c r="X69" i="1"/>
  <c r="X70" i="1" s="1"/>
  <c r="X68" i="1" s="1"/>
  <c r="X61" i="1"/>
  <c r="X62" i="1" s="1"/>
  <c r="X60" i="1" s="1"/>
  <c r="X47" i="1"/>
  <c r="X48" i="1" s="1"/>
  <c r="X46" i="1" s="1"/>
  <c r="X39" i="1"/>
  <c r="X40" i="1" s="1"/>
  <c r="X38" i="1" s="1"/>
  <c r="X31" i="1"/>
  <c r="X32" i="1" s="1"/>
  <c r="X30" i="1" s="1"/>
  <c r="X23" i="1"/>
  <c r="X24" i="1" s="1"/>
  <c r="X22" i="1" s="1"/>
  <c r="X15" i="1"/>
  <c r="X16" i="1" s="1"/>
  <c r="X14" i="1" s="1"/>
  <c r="X7" i="1"/>
  <c r="X8" i="1" s="1"/>
  <c r="X6" i="1" s="1"/>
  <c r="W61" i="1"/>
  <c r="W62" i="1" s="1"/>
  <c r="W47" i="1"/>
  <c r="W48" i="1" s="1"/>
  <c r="W46" i="1" s="1"/>
  <c r="W39" i="1"/>
  <c r="W40" i="1" s="1"/>
  <c r="W38" i="1" s="1"/>
  <c r="W31" i="1"/>
  <c r="W32" i="1" s="1"/>
  <c r="W30" i="1" s="1"/>
  <c r="W23" i="1"/>
  <c r="W24" i="1" s="1"/>
  <c r="W22" i="1" s="1"/>
  <c r="W15" i="1"/>
  <c r="W16" i="1" s="1"/>
  <c r="W14" i="1" s="1"/>
  <c r="W7" i="1"/>
  <c r="W8" i="1" s="1"/>
  <c r="W6" i="1" s="1"/>
  <c r="AA84" i="1"/>
  <c r="Z84" i="1"/>
  <c r="AA83" i="1"/>
  <c r="Z83" i="1"/>
  <c r="AA82" i="1"/>
  <c r="Z82" i="1"/>
  <c r="AA81" i="1"/>
  <c r="Z81" i="1"/>
  <c r="AA80" i="1"/>
  <c r="Z80" i="1"/>
  <c r="AA69" i="1"/>
  <c r="AA70" i="1" s="1"/>
  <c r="AA68" i="1" s="1"/>
  <c r="AA61" i="1"/>
  <c r="AA62" i="1" s="1"/>
  <c r="AA60" i="1" s="1"/>
  <c r="AA47" i="1"/>
  <c r="AA39" i="1"/>
  <c r="AA31" i="1"/>
  <c r="AA23" i="1"/>
  <c r="AA24" i="1" s="1"/>
  <c r="AA22" i="1" s="1"/>
  <c r="AA15" i="1"/>
  <c r="AA16" i="1" s="1"/>
  <c r="AA14" i="1" s="1"/>
  <c r="AA7" i="1"/>
  <c r="Z61" i="1"/>
  <c r="Z62" i="1" s="1"/>
  <c r="Z47" i="1"/>
  <c r="Z48" i="1" s="1"/>
  <c r="Z46" i="1" s="1"/>
  <c r="Z39" i="1"/>
  <c r="Z40" i="1" s="1"/>
  <c r="Z38" i="1" s="1"/>
  <c r="Z31" i="1"/>
  <c r="Z32" i="1" s="1"/>
  <c r="Z30" i="1" s="1"/>
  <c r="Z23" i="1"/>
  <c r="Z24" i="1" s="1"/>
  <c r="Z22" i="1" s="1"/>
  <c r="Z15" i="1"/>
  <c r="Z16" i="1" s="1"/>
  <c r="Z14" i="1" s="1"/>
  <c r="Z7" i="1"/>
  <c r="Z8" i="1" s="1"/>
  <c r="Z6" i="1" s="1"/>
  <c r="Z69" i="1"/>
  <c r="Z68" i="1" s="1"/>
  <c r="AC84" i="1"/>
  <c r="AC83" i="1"/>
  <c r="AC82" i="1"/>
  <c r="AC81" i="1"/>
  <c r="AC80" i="1"/>
  <c r="AC79" i="1"/>
  <c r="AC78" i="1"/>
  <c r="AD84" i="1"/>
  <c r="AD83" i="1"/>
  <c r="AD82" i="1"/>
  <c r="AD81" i="1"/>
  <c r="AD80" i="1"/>
  <c r="AD70" i="1"/>
  <c r="AD79" i="1" s="1"/>
  <c r="AD78" i="1"/>
  <c r="P84" i="1"/>
  <c r="O84" i="1"/>
  <c r="N84" i="1"/>
  <c r="M84" i="1"/>
  <c r="L84" i="1"/>
  <c r="K84" i="1"/>
  <c r="J84" i="1"/>
  <c r="I8" i="1"/>
  <c r="I84" i="1" s="1"/>
  <c r="H84" i="1"/>
  <c r="G84" i="1"/>
  <c r="F8" i="1"/>
  <c r="F84" i="1" s="1"/>
  <c r="E84" i="1"/>
  <c r="P83" i="1"/>
  <c r="O7" i="1"/>
  <c r="O83" i="1" s="1"/>
  <c r="N7" i="1"/>
  <c r="N83" i="1" s="1"/>
  <c r="M83" i="1"/>
  <c r="L83" i="1"/>
  <c r="K83" i="1"/>
  <c r="J83" i="1"/>
  <c r="I7" i="1"/>
  <c r="I83" i="1" s="1"/>
  <c r="H83" i="1"/>
  <c r="G83" i="1"/>
  <c r="F7" i="1"/>
  <c r="F83" i="1" s="1"/>
  <c r="E83" i="1"/>
  <c r="AD60" i="1"/>
  <c r="AD30" i="1"/>
  <c r="AD6" i="1"/>
  <c r="AC60" i="1"/>
  <c r="AC30" i="1"/>
  <c r="AC6" i="1"/>
  <c r="AB60" i="1"/>
  <c r="AB30" i="1"/>
  <c r="AB6" i="1"/>
  <c r="Y60" i="1"/>
  <c r="Y30" i="1"/>
  <c r="Y6" i="1"/>
  <c r="V60" i="1"/>
  <c r="V30" i="1"/>
  <c r="V6" i="1"/>
  <c r="S60" i="1"/>
  <c r="S30" i="1"/>
  <c r="S6" i="1"/>
  <c r="P60" i="1"/>
  <c r="P30" i="1"/>
  <c r="P6" i="1"/>
  <c r="O60" i="1"/>
  <c r="O30" i="1"/>
  <c r="N60" i="1"/>
  <c r="N30" i="1"/>
  <c r="M60" i="1"/>
  <c r="M30" i="1"/>
  <c r="M6" i="1"/>
  <c r="L60" i="1"/>
  <c r="L30" i="1"/>
  <c r="L6" i="1"/>
  <c r="K60" i="1"/>
  <c r="K30" i="1"/>
  <c r="K6" i="1"/>
  <c r="J60" i="1"/>
  <c r="J30" i="1"/>
  <c r="J6" i="1"/>
  <c r="I60" i="1"/>
  <c r="I30" i="1"/>
  <c r="H60" i="1"/>
  <c r="H30" i="1"/>
  <c r="H6" i="1"/>
  <c r="G60" i="1"/>
  <c r="G30" i="1"/>
  <c r="G6" i="1"/>
  <c r="F60" i="1"/>
  <c r="F30" i="1"/>
  <c r="E60" i="1"/>
  <c r="E30" i="1"/>
  <c r="E6" i="1"/>
  <c r="P81" i="1"/>
  <c r="O81" i="1"/>
  <c r="N81" i="1"/>
  <c r="M81" i="1"/>
  <c r="L81" i="1"/>
  <c r="K81" i="1"/>
  <c r="J81" i="1"/>
  <c r="I81" i="1"/>
  <c r="H81" i="1"/>
  <c r="G81" i="1"/>
  <c r="F81" i="1"/>
  <c r="E81" i="1"/>
  <c r="P80" i="1"/>
  <c r="O80" i="1"/>
  <c r="N80" i="1"/>
  <c r="M80" i="1"/>
  <c r="L80" i="1"/>
  <c r="K80" i="1"/>
  <c r="J80" i="1"/>
  <c r="I80" i="1"/>
  <c r="H80" i="1"/>
  <c r="G80" i="1"/>
  <c r="F80" i="1"/>
  <c r="E80" i="1"/>
  <c r="P79" i="1"/>
  <c r="O79" i="1"/>
  <c r="N79" i="1"/>
  <c r="M79" i="1"/>
  <c r="L79" i="1"/>
  <c r="K79" i="1"/>
  <c r="J79" i="1"/>
  <c r="I79" i="1"/>
  <c r="H79" i="1"/>
  <c r="G79" i="1"/>
  <c r="F79" i="1"/>
  <c r="E79" i="1"/>
  <c r="P78" i="1"/>
  <c r="P77" i="1" s="1"/>
  <c r="O78" i="1"/>
  <c r="O77" i="1" s="1"/>
  <c r="N78" i="1"/>
  <c r="N77" i="1" s="1"/>
  <c r="M78" i="1"/>
  <c r="M77" i="1" s="1"/>
  <c r="L78" i="1"/>
  <c r="L77" i="1" s="1"/>
  <c r="K78" i="1"/>
  <c r="K77" i="1" s="1"/>
  <c r="J78" i="1"/>
  <c r="J77" i="1" s="1"/>
  <c r="I78" i="1"/>
  <c r="I77" i="1" s="1"/>
  <c r="H78" i="1"/>
  <c r="H77" i="1" s="1"/>
  <c r="G78" i="1"/>
  <c r="G77" i="1" s="1"/>
  <c r="F78" i="1"/>
  <c r="F77" i="1" s="1"/>
  <c r="E78" i="1"/>
  <c r="E77" i="1" s="1"/>
  <c r="AC68" i="1"/>
  <c r="AB68" i="1"/>
  <c r="Y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D46" i="1"/>
  <c r="AC46" i="1"/>
  <c r="AB46" i="1"/>
  <c r="Y46" i="1"/>
  <c r="V46" i="1"/>
  <c r="S46" i="1"/>
  <c r="P46" i="1"/>
  <c r="O46" i="1"/>
  <c r="N46" i="1"/>
  <c r="M46" i="1"/>
  <c r="L46" i="1"/>
  <c r="K46" i="1"/>
  <c r="J46" i="1"/>
  <c r="I46" i="1"/>
  <c r="H46" i="1"/>
  <c r="G46" i="1"/>
  <c r="F46" i="1"/>
  <c r="E46" i="1"/>
  <c r="AD38" i="1"/>
  <c r="AC38" i="1"/>
  <c r="AB38" i="1"/>
  <c r="Y38" i="1"/>
  <c r="V38" i="1"/>
  <c r="S38" i="1"/>
  <c r="P38" i="1"/>
  <c r="AD22" i="1"/>
  <c r="AC22" i="1"/>
  <c r="AB22" i="1"/>
  <c r="AD14" i="1"/>
  <c r="AC14" i="1"/>
  <c r="AB14" i="1"/>
  <c r="Y22" i="1"/>
  <c r="Y14" i="1"/>
  <c r="V22" i="1"/>
  <c r="V14" i="1"/>
  <c r="S22" i="1"/>
  <c r="S14" i="1"/>
  <c r="F22" i="1"/>
  <c r="G22" i="1"/>
  <c r="H22" i="1"/>
  <c r="I22" i="1"/>
  <c r="J22" i="1"/>
  <c r="K22" i="1"/>
  <c r="L22" i="1"/>
  <c r="M22" i="1"/>
  <c r="N22" i="1"/>
  <c r="O22" i="1"/>
  <c r="P22" i="1"/>
  <c r="E22" i="1"/>
  <c r="F14" i="1"/>
  <c r="G14" i="1"/>
  <c r="H14" i="1"/>
  <c r="I14" i="1"/>
  <c r="J14" i="1"/>
  <c r="K14" i="1"/>
  <c r="L14" i="1"/>
  <c r="M14" i="1"/>
  <c r="N14" i="1"/>
  <c r="O14" i="1"/>
  <c r="P14" i="1"/>
  <c r="E14" i="1"/>
  <c r="T14" i="1" l="1"/>
  <c r="Q46" i="1"/>
  <c r="R14" i="1"/>
  <c r="Q22" i="1"/>
  <c r="R22" i="1"/>
  <c r="T22" i="1"/>
  <c r="T60" i="1"/>
  <c r="T30" i="1"/>
  <c r="U14" i="1"/>
  <c r="R46" i="1"/>
  <c r="J82" i="1"/>
  <c r="R60" i="1"/>
  <c r="R6" i="1"/>
  <c r="U22" i="1"/>
  <c r="U46" i="1"/>
  <c r="Q30" i="1"/>
  <c r="U30" i="1"/>
  <c r="Q14" i="1"/>
  <c r="E82" i="1"/>
  <c r="L82" i="1"/>
  <c r="U60" i="1"/>
  <c r="P82" i="1"/>
  <c r="R40" i="1"/>
  <c r="R38" i="1" s="1"/>
  <c r="AJ77" i="1"/>
  <c r="AD68" i="1"/>
  <c r="G82" i="1"/>
  <c r="AA48" i="1"/>
  <c r="AA46" i="1" s="1"/>
  <c r="H82" i="1"/>
  <c r="K82" i="1"/>
  <c r="T46" i="1"/>
  <c r="AC77" i="1"/>
  <c r="M82" i="1"/>
  <c r="AA78" i="1"/>
  <c r="AA32" i="1"/>
  <c r="AA30" i="1" s="1"/>
  <c r="R30" i="1"/>
  <c r="AI77" i="1"/>
  <c r="AA8" i="1"/>
  <c r="AA6" i="1" s="1"/>
  <c r="AA40" i="1"/>
  <c r="AF77" i="1"/>
  <c r="W78" i="1"/>
  <c r="T78" i="1"/>
  <c r="U78" i="1"/>
  <c r="Q78" i="1"/>
  <c r="R78" i="1"/>
  <c r="Z78" i="1"/>
  <c r="X78" i="1"/>
  <c r="X79" i="1"/>
  <c r="AD77" i="1"/>
  <c r="AG79" i="1"/>
  <c r="AG77" i="1" s="1"/>
  <c r="W79" i="1"/>
  <c r="W60" i="1"/>
  <c r="T38" i="1"/>
  <c r="T79" i="1"/>
  <c r="U79" i="1"/>
  <c r="U38" i="1"/>
  <c r="Q79" i="1"/>
  <c r="Q6" i="1"/>
  <c r="Z60" i="1"/>
  <c r="Z79" i="1"/>
  <c r="F6" i="1"/>
  <c r="F82" i="1" s="1"/>
  <c r="I6" i="1"/>
  <c r="I82" i="1" s="1"/>
  <c r="N6" i="1"/>
  <c r="N82" i="1" s="1"/>
  <c r="O6" i="1"/>
  <c r="O82" i="1" s="1"/>
  <c r="R79" i="1" l="1"/>
  <c r="R77" i="1" s="1"/>
  <c r="Q77" i="1"/>
  <c r="AA79" i="1"/>
  <c r="AA77" i="1" s="1"/>
  <c r="W77" i="1"/>
  <c r="Z77" i="1"/>
  <c r="AA38" i="1"/>
  <c r="U77" i="1"/>
  <c r="T77" i="1"/>
  <c r="X77" i="1"/>
</calcChain>
</file>

<file path=xl/sharedStrings.xml><?xml version="1.0" encoding="utf-8"?>
<sst xmlns="http://schemas.openxmlformats.org/spreadsheetml/2006/main" count="226" uniqueCount="58">
  <si>
    <t xml:space="preserve"> </t>
  </si>
  <si>
    <t>College of Business</t>
  </si>
  <si>
    <t>College of Design</t>
  </si>
  <si>
    <t>College of Engineering</t>
  </si>
  <si>
    <t>College of Liberal Arts and Sciences</t>
  </si>
  <si>
    <t>College of Veterinary Medicine</t>
  </si>
  <si>
    <t>Library</t>
  </si>
  <si>
    <t>Count</t>
  </si>
  <si>
    <t xml:space="preserve">Count </t>
  </si>
  <si>
    <t>––––2001––––</t>
  </si>
  <si>
    <t>––––2002––––</t>
  </si>
  <si>
    <t xml:space="preserve"> October Payroll </t>
  </si>
  <si>
    <t xml:space="preserve">  FTE</t>
  </si>
  <si>
    <t>––––2003––––</t>
  </si>
  <si>
    <t>––––2004––––</t>
  </si>
  <si>
    <t>Merit</t>
  </si>
  <si>
    <t>COLLEGE AND EMPLOYEE TYPE</t>
  </si>
  <si>
    <t>Tenured &amp; Tenure Eligible Faculty</t>
  </si>
  <si>
    <t>Professional &amp; Scientific</t>
  </si>
  <si>
    <t>Contract</t>
  </si>
  <si>
    <t>Graduate Assistants</t>
  </si>
  <si>
    <t>Post Doctoral Research Associates</t>
  </si>
  <si>
    <t>––––2006––––</t>
  </si>
  <si>
    <t>––––2007––––</t>
  </si>
  <si>
    <t>College of Agriculture &amp; Life Sciences</t>
  </si>
  <si>
    <t>––––2008––––</t>
  </si>
  <si>
    <t>––––2009––––</t>
  </si>
  <si>
    <t>––––2010––––</t>
  </si>
  <si>
    <t>––––2011––––</t>
  </si>
  <si>
    <t>––––2012––––</t>
  </si>
  <si>
    <t xml:space="preserve"> Continued</t>
  </si>
  <si>
    <t xml:space="preserve">  Continued on Next Page</t>
  </si>
  <si>
    <t>COUNT</t>
  </si>
  <si>
    <t>––––2005––––</t>
  </si>
  <si>
    <r>
      <rPr>
        <b/>
        <sz val="9"/>
        <color theme="0"/>
        <rFont val="Univers 55"/>
      </rPr>
      <t>AAAA</t>
    </r>
    <r>
      <rPr>
        <b/>
        <sz val="9"/>
        <rFont val="Univers 55"/>
        <family val="2"/>
      </rPr>
      <t>2013</t>
    </r>
  </si>
  <si>
    <r>
      <rPr>
        <b/>
        <sz val="9"/>
        <color theme="0"/>
        <rFont val="Univers 55"/>
      </rPr>
      <t xml:space="preserve">      –––– ––– </t>
    </r>
    <r>
      <rPr>
        <b/>
        <sz val="9"/>
        <rFont val="Univers 55"/>
      </rPr>
      <t>2014</t>
    </r>
  </si>
  <si>
    <r>
      <t>Total Academic Units</t>
    </r>
    <r>
      <rPr>
        <vertAlign val="superscript"/>
        <sz val="9"/>
        <rFont val="Univers 45 Light"/>
      </rPr>
      <t>2</t>
    </r>
  </si>
  <si>
    <t xml:space="preserve">   (e.g., President, Extension, Ames Lab, etc.) and Non-Academic Rank Faculty.</t>
  </si>
  <si>
    <r>
      <t>Term Faculty</t>
    </r>
    <r>
      <rPr>
        <vertAlign val="superscript"/>
        <sz val="8"/>
        <rFont val="Univers 55"/>
      </rPr>
      <t>4</t>
    </r>
  </si>
  <si>
    <r>
      <t>Personnel Headcount and FTE</t>
    </r>
    <r>
      <rPr>
        <vertAlign val="superscript"/>
        <sz val="12"/>
        <rFont val="Univers 55"/>
      </rPr>
      <t>1</t>
    </r>
    <r>
      <rPr>
        <b/>
        <sz val="12"/>
        <rFont val="Univers 55"/>
      </rPr>
      <t xml:space="preserve"> </t>
    </r>
    <r>
      <rPr>
        <b/>
        <sz val="14"/>
        <rFont val="Univers 55"/>
        <family val="2"/>
      </rPr>
      <t>by College</t>
    </r>
    <r>
      <rPr>
        <vertAlign val="superscript"/>
        <sz val="12"/>
        <rFont val="Univers 55"/>
      </rPr>
      <t>2</t>
    </r>
    <r>
      <rPr>
        <vertAlign val="superscript"/>
        <sz val="14"/>
        <rFont val="Univers 55"/>
      </rPr>
      <t xml:space="preserve">, </t>
    </r>
    <r>
      <rPr>
        <vertAlign val="superscript"/>
        <sz val="12"/>
        <rFont val="Univers 55"/>
      </rPr>
      <t>3</t>
    </r>
  </si>
  <si>
    <r>
      <t>Personnel Headcount and FTE</t>
    </r>
    <r>
      <rPr>
        <vertAlign val="superscript"/>
        <sz val="14"/>
        <rFont val="Univers 55"/>
      </rPr>
      <t>1</t>
    </r>
    <r>
      <rPr>
        <b/>
        <sz val="14"/>
        <rFont val="Univers 55"/>
        <family val="2"/>
      </rPr>
      <t xml:space="preserve"> by College</t>
    </r>
    <r>
      <rPr>
        <vertAlign val="superscript"/>
        <sz val="14"/>
        <rFont val="Univers 55"/>
      </rPr>
      <t>2, 3</t>
    </r>
  </si>
  <si>
    <t>Note: the methodology for counting employees changed in 2013. Comparisons between years should not be made based on these data. See footnotes on the next page for more detail.</t>
  </si>
  <si>
    <t>Note: the methodology for counting employees changed in 2013. Comparisons between years should not be made based on these data. See footnotes for more detail.</t>
  </si>
  <si>
    <t xml:space="preserve"> Last Updated 12/20/2024</t>
  </si>
  <si>
    <r>
      <rPr>
        <b/>
        <sz val="9"/>
        <color theme="0" tint="-4.9989318521683403E-2"/>
        <rFont val="Univers LT Std 45 Light"/>
        <family val="2"/>
      </rPr>
      <t xml:space="preserve">      –––––</t>
    </r>
    <r>
      <rPr>
        <b/>
        <sz val="9"/>
        <rFont val="Univers LT Std 45 Light"/>
        <family val="2"/>
      </rPr>
      <t>2015</t>
    </r>
  </si>
  <si>
    <r>
      <rPr>
        <b/>
        <sz val="9"/>
        <color theme="0"/>
        <rFont val="Univers LT Std 45 Light"/>
        <family val="2"/>
      </rPr>
      <t xml:space="preserve">      ––––– </t>
    </r>
    <r>
      <rPr>
        <b/>
        <sz val="9"/>
        <rFont val="Univers LT Std 45 Light"/>
        <family val="2"/>
      </rPr>
      <t>2016</t>
    </r>
  </si>
  <si>
    <r>
      <t xml:space="preserve"> </t>
    </r>
    <r>
      <rPr>
        <b/>
        <sz val="9"/>
        <color theme="0" tint="-4.9989318521683403E-2"/>
        <rFont val="Univers LT Std 45 Light"/>
        <family val="2"/>
      </rPr>
      <t xml:space="preserve">     ––––– </t>
    </r>
    <r>
      <rPr>
        <b/>
        <sz val="9"/>
        <rFont val="Univers LT Std 45 Light"/>
        <family val="2"/>
      </rPr>
      <t>2017</t>
    </r>
  </si>
  <si>
    <r>
      <t xml:space="preserve"> </t>
    </r>
    <r>
      <rPr>
        <b/>
        <sz val="9"/>
        <color theme="0" tint="-4.9989318521683403E-2"/>
        <rFont val="Univers LT Std 45 Light"/>
        <family val="2"/>
      </rPr>
      <t xml:space="preserve">   </t>
    </r>
    <r>
      <rPr>
        <b/>
        <sz val="9"/>
        <color theme="0"/>
        <rFont val="Univers LT Std 45 Light"/>
        <family val="2"/>
      </rPr>
      <t xml:space="preserve">  ––––– </t>
    </r>
    <r>
      <rPr>
        <b/>
        <sz val="9"/>
        <rFont val="Univers LT Std 45 Light"/>
        <family val="2"/>
      </rPr>
      <t>2018</t>
    </r>
    <r>
      <rPr>
        <vertAlign val="superscript"/>
        <sz val="9"/>
        <rFont val="Univers LT Std 45 Light"/>
        <family val="2"/>
      </rPr>
      <t>4</t>
    </r>
  </si>
  <si>
    <r>
      <rPr>
        <b/>
        <sz val="9"/>
        <color theme="0" tint="-4.9989318521683403E-2"/>
        <rFont val="Univers LT Std 45 Light"/>
        <family val="2"/>
      </rPr>
      <t xml:space="preserve">      ––––– </t>
    </r>
    <r>
      <rPr>
        <b/>
        <sz val="9"/>
        <rFont val="Univers LT Std 45 Light"/>
        <family val="2"/>
      </rPr>
      <t>2019</t>
    </r>
    <r>
      <rPr>
        <vertAlign val="superscript"/>
        <sz val="9"/>
        <rFont val="Univers LT Std 45 Light"/>
      </rPr>
      <t>4</t>
    </r>
  </si>
  <si>
    <r>
      <rPr>
        <b/>
        <sz val="9"/>
        <color theme="0"/>
        <rFont val="Univers LT Std 45 Light"/>
        <family val="2"/>
      </rPr>
      <t xml:space="preserve">      –––––</t>
    </r>
    <r>
      <rPr>
        <b/>
        <sz val="9"/>
        <rFont val="Univers LT Std 45 Light"/>
        <family val="2"/>
      </rPr>
      <t>2015</t>
    </r>
  </si>
  <si>
    <r>
      <rPr>
        <b/>
        <sz val="9"/>
        <color theme="0" tint="-4.9989318521683403E-2"/>
        <rFont val="Univers LT Std 45 Light"/>
        <family val="2"/>
      </rPr>
      <t xml:space="preserve">      ––––– </t>
    </r>
    <r>
      <rPr>
        <b/>
        <sz val="9"/>
        <rFont val="Univers LT Std 45 Light"/>
        <family val="2"/>
      </rPr>
      <t>2017</t>
    </r>
  </si>
  <si>
    <t xml:space="preserve"> Office of Institutional Research (Data Source: Data Mart, Workday Production, and e-Data Warehouse)</t>
  </si>
  <si>
    <r>
      <rPr>
        <vertAlign val="superscript"/>
        <sz val="10"/>
        <rFont val="Univers 55"/>
      </rPr>
      <t xml:space="preserve"> </t>
    </r>
    <r>
      <rPr>
        <vertAlign val="superscript"/>
        <sz val="11"/>
        <rFont val="Univers 55"/>
      </rPr>
      <t xml:space="preserve">4 </t>
    </r>
    <r>
      <rPr>
        <sz val="9"/>
        <rFont val="ITC Berkeley Oldstyle Std"/>
        <family val="1"/>
      </rPr>
      <t>"Term Faculty" were formerly known as "Non Tenure-Eligible Faculty"</t>
    </r>
  </si>
  <si>
    <r>
      <t xml:space="preserve"> </t>
    </r>
    <r>
      <rPr>
        <vertAlign val="superscript"/>
        <sz val="9"/>
        <rFont val="Univers LT Std 55"/>
        <family val="2"/>
      </rPr>
      <t xml:space="preserve">3 </t>
    </r>
    <r>
      <rPr>
        <sz val="9"/>
        <rFont val="ITC Berkeley Oldstyle Std"/>
        <family val="1"/>
      </rPr>
      <t>Beginning in 2013, counts include all faculty and other employees in the college where they work (home department - where their primary office is located).</t>
    </r>
  </si>
  <si>
    <r>
      <rPr>
        <vertAlign val="superscript"/>
        <sz val="11"/>
        <rFont val="Univers LT Std 55"/>
        <family val="2"/>
      </rPr>
      <t xml:space="preserve"> </t>
    </r>
    <r>
      <rPr>
        <vertAlign val="superscript"/>
        <sz val="9"/>
        <rFont val="Univers LT Std 55"/>
      </rPr>
      <t xml:space="preserve">2 </t>
    </r>
    <r>
      <rPr>
        <sz val="9"/>
        <rFont val="ITC Berkeley Oldstyle Std"/>
        <family val="1"/>
      </rPr>
      <t>FTE and headcount reported elsewhere in the Fact Book does not match the total here because this page excludes non-college units</t>
    </r>
  </si>
  <si>
    <r>
      <t xml:space="preserve"> </t>
    </r>
    <r>
      <rPr>
        <vertAlign val="superscript"/>
        <sz val="10"/>
        <rFont val="Univers LT Std 55"/>
      </rPr>
      <t xml:space="preserve">1 </t>
    </r>
    <r>
      <rPr>
        <sz val="9"/>
        <rFont val="ITC Berkeley Oldstyle Std"/>
        <family val="1"/>
      </rPr>
      <t>Full-Time Equivalent (FTE) is based on the appointment fraction of each employee.</t>
    </r>
  </si>
  <si>
    <r>
      <rPr>
        <vertAlign val="superscript"/>
        <sz val="9"/>
        <rFont val="Univers 55"/>
      </rPr>
      <t xml:space="preserve"> 5 </t>
    </r>
    <r>
      <rPr>
        <sz val="9"/>
        <rFont val="ITC Berkeley Oldstyle Std"/>
        <family val="1"/>
      </rPr>
      <t>Beginning in 2024, the College of Human Sciences was changed to the College of Health and Human Sciences.</t>
    </r>
  </si>
  <si>
    <r>
      <t>College of Health and Human Sciences</t>
    </r>
    <r>
      <rPr>
        <vertAlign val="superscript"/>
        <sz val="9"/>
        <rFont val="Univers 45 Light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</si>
</sst>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,???"/>
    <numFmt numFmtId="165" formatCode="????"/>
    <numFmt numFmtId="166" formatCode="?,??0"/>
    <numFmt numFmtId="167" formatCode="?,??0.00"/>
  </numFmts>
  <fonts count="70">
    <font>
      <sz val="10"/>
      <name val="Univers 55"/>
    </font>
    <font>
      <sz val="11"/>
      <color theme="1"/>
      <name val="Calibri"/>
      <family val="2"/>
      <scheme val="minor"/>
    </font>
    <font>
      <sz val="7"/>
      <name val="Univers 55"/>
      <family val="2"/>
    </font>
    <font>
      <sz val="10"/>
      <name val="Berkeley Italic"/>
    </font>
    <font>
      <sz val="7"/>
      <name val="Univers 65 Bold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45 Light"/>
      <family val="2"/>
    </font>
    <font>
      <b/>
      <sz val="7"/>
      <name val="Univers 55"/>
      <family val="2"/>
    </font>
    <font>
      <sz val="7"/>
      <name val="Univers 55"/>
      <family val="2"/>
    </font>
    <font>
      <vertAlign val="superscript"/>
      <sz val="9"/>
      <name val="Univers 55"/>
      <family val="2"/>
    </font>
    <font>
      <b/>
      <sz val="10"/>
      <name val="Univers 55"/>
      <family val="2"/>
    </font>
    <font>
      <b/>
      <sz val="7"/>
      <name val="Univers 65 Bold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Univers 55"/>
      <family val="2"/>
    </font>
    <font>
      <b/>
      <sz val="8"/>
      <name val="Univers 55"/>
      <family val="2"/>
    </font>
    <font>
      <b/>
      <sz val="9"/>
      <name val="Univers 45 Light"/>
      <family val="2"/>
    </font>
    <font>
      <vertAlign val="superscript"/>
      <sz val="14"/>
      <name val="Univers 55"/>
    </font>
    <font>
      <sz val="8"/>
      <name val="Univers 55"/>
      <family val="2"/>
    </font>
    <font>
      <b/>
      <sz val="8"/>
      <name val="Univers 45 Light"/>
      <family val="2"/>
    </font>
    <font>
      <sz val="8"/>
      <name val="Univers 45 Light"/>
      <family val="2"/>
    </font>
    <font>
      <b/>
      <sz val="9"/>
      <name val="Univers 55"/>
      <family val="2"/>
    </font>
    <font>
      <sz val="8"/>
      <name val="Univers 55"/>
    </font>
    <font>
      <i/>
      <sz val="9"/>
      <name val="Berkeley"/>
      <family val="1"/>
    </font>
    <font>
      <b/>
      <sz val="9"/>
      <name val="Univers 55"/>
    </font>
    <font>
      <b/>
      <sz val="9"/>
      <color theme="0"/>
      <name val="Univers 55"/>
    </font>
    <font>
      <sz val="9"/>
      <name val="Berkeley Italic"/>
    </font>
    <font>
      <vertAlign val="superscript"/>
      <sz val="9"/>
      <name val="Univers 45 Light"/>
    </font>
    <font>
      <vertAlign val="superscript"/>
      <sz val="9"/>
      <name val="ITC Berkeley Oldstyle Std"/>
      <family val="1"/>
    </font>
    <font>
      <sz val="9"/>
      <name val="ITC Berkeley Oldstyle Std"/>
      <family val="1"/>
    </font>
    <font>
      <sz val="10"/>
      <name val="ITC Berkeley Oldstyle Std"/>
      <family val="1"/>
    </font>
    <font>
      <b/>
      <sz val="10"/>
      <name val="Univers LT Std 45 Light"/>
      <family val="2"/>
    </font>
    <font>
      <vertAlign val="superscript"/>
      <sz val="8"/>
      <name val="ITC Berkeley Oldstyle Std"/>
      <family val="1"/>
    </font>
    <font>
      <vertAlign val="superscript"/>
      <sz val="10"/>
      <name val="Univers 55"/>
    </font>
    <font>
      <vertAlign val="superscript"/>
      <sz val="11"/>
      <name val="Univers LT Std 55"/>
      <family val="2"/>
    </font>
    <font>
      <b/>
      <sz val="8"/>
      <color rgb="FFC00000"/>
      <name val="Univers 55"/>
      <family val="2"/>
    </font>
    <font>
      <sz val="8"/>
      <color rgb="FFC00000"/>
      <name val="Univers 55"/>
      <family val="2"/>
    </font>
    <font>
      <sz val="8"/>
      <color theme="1"/>
      <name val="Univers 55"/>
      <family val="2"/>
    </font>
    <font>
      <b/>
      <sz val="8"/>
      <color theme="1"/>
      <name val="Univers 55"/>
      <family val="2"/>
    </font>
    <font>
      <sz val="8"/>
      <color theme="1"/>
      <name val="Univers 45 Light"/>
      <family val="2"/>
    </font>
    <font>
      <vertAlign val="superscript"/>
      <sz val="11"/>
      <name val="Univers 55"/>
    </font>
    <font>
      <vertAlign val="superscript"/>
      <sz val="8"/>
      <name val="Univers 55"/>
    </font>
    <font>
      <vertAlign val="superscript"/>
      <sz val="9"/>
      <name val="ITC Berkeley Oldstyle Std"/>
      <family val="2"/>
    </font>
    <font>
      <vertAlign val="superscript"/>
      <sz val="10"/>
      <name val="Univers LT Std 55"/>
    </font>
    <font>
      <vertAlign val="superscript"/>
      <sz val="12"/>
      <name val="Univers 55"/>
    </font>
    <font>
      <b/>
      <sz val="12"/>
      <name val="Univers 55"/>
    </font>
    <font>
      <vertAlign val="superscript"/>
      <sz val="9"/>
      <name val="Univers 55"/>
    </font>
    <font>
      <vertAlign val="superscript"/>
      <sz val="9"/>
      <name val="Univers LT Std 55"/>
      <family val="2"/>
    </font>
    <font>
      <vertAlign val="superscript"/>
      <sz val="9"/>
      <name val="Univers LT Std 55"/>
    </font>
    <font>
      <b/>
      <sz val="9"/>
      <name val="Univers LT Std 45 Light"/>
      <family val="2"/>
    </font>
    <font>
      <b/>
      <sz val="9"/>
      <color theme="0" tint="-4.9989318521683403E-2"/>
      <name val="Univers LT Std 45 Light"/>
      <family val="2"/>
    </font>
    <font>
      <b/>
      <sz val="9"/>
      <color theme="0"/>
      <name val="Univers LT Std 45 Light"/>
      <family val="2"/>
    </font>
    <font>
      <vertAlign val="superscript"/>
      <sz val="9"/>
      <name val="Univers LT Std 45 Light"/>
      <family val="2"/>
    </font>
    <font>
      <vertAlign val="superscript"/>
      <sz val="9"/>
      <name val="Univers LT Std 45 Light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32" borderId="0" applyNumberFormat="0" applyBorder="0" applyAlignment="0" applyProtection="0"/>
    <xf numFmtId="0" fontId="29" fillId="0" borderId="0">
      <alignment vertical="top"/>
    </xf>
    <xf numFmtId="0" fontId="1" fillId="8" borderId="9" applyNumberFormat="0" applyFont="0" applyAlignment="0" applyProtection="0"/>
  </cellStyleXfs>
  <cellXfs count="138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164" fontId="0" fillId="0" borderId="0" xfId="0" applyNumberFormat="1" applyAlignment="1">
      <alignment horizontal="center"/>
    </xf>
    <xf numFmtId="0" fontId="8" fillId="0" borderId="0" xfId="0" applyFont="1"/>
    <xf numFmtId="0" fontId="11" fillId="0" borderId="0" xfId="0" applyFont="1"/>
    <xf numFmtId="0" fontId="8" fillId="0" borderId="12" xfId="0" applyFont="1" applyBorder="1"/>
    <xf numFmtId="0" fontId="0" fillId="0" borderId="0" xfId="0" applyAlignment="1">
      <alignment vertical="top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7" fontId="8" fillId="0" borderId="0" xfId="0" applyNumberFormat="1" applyFont="1" applyAlignment="1">
      <alignment horizontal="right" vertical="center"/>
    </xf>
    <xf numFmtId="167" fontId="9" fillId="0" borderId="0" xfId="0" applyNumberFormat="1" applyFont="1" applyAlignment="1">
      <alignment horizontal="right" vertical="center"/>
    </xf>
    <xf numFmtId="166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6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166" fontId="9" fillId="0" borderId="11" xfId="0" applyNumberFormat="1" applyFont="1" applyBorder="1" applyAlignment="1">
      <alignment horizontal="right" vertical="center"/>
    </xf>
    <xf numFmtId="166" fontId="30" fillId="0" borderId="11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8" fillId="0" borderId="0" xfId="0" applyNumberFormat="1" applyFont="1" applyAlignment="1">
      <alignment horizontal="right"/>
    </xf>
    <xf numFmtId="166" fontId="8" fillId="0" borderId="12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34" fillId="0" borderId="0" xfId="0" applyFont="1" applyAlignment="1">
      <alignment vertical="center"/>
    </xf>
    <xf numFmtId="166" fontId="34" fillId="0" borderId="0" xfId="0" applyNumberFormat="1" applyFont="1" applyAlignment="1">
      <alignment horizontal="right" vertical="center"/>
    </xf>
    <xf numFmtId="166" fontId="34" fillId="0" borderId="11" xfId="0" applyNumberFormat="1" applyFont="1" applyBorder="1" applyAlignment="1">
      <alignment horizontal="right" vertical="center"/>
    </xf>
    <xf numFmtId="167" fontId="34" fillId="0" borderId="0" xfId="0" applyNumberFormat="1" applyFont="1" applyAlignment="1">
      <alignment horizontal="right" vertical="center"/>
    </xf>
    <xf numFmtId="166" fontId="34" fillId="33" borderId="0" xfId="0" applyNumberFormat="1" applyFont="1" applyFill="1" applyAlignment="1">
      <alignment horizontal="right" vertical="center"/>
    </xf>
    <xf numFmtId="167" fontId="34" fillId="33" borderId="0" xfId="0" applyNumberFormat="1" applyFont="1" applyFill="1" applyAlignment="1">
      <alignment horizontal="right" vertical="center"/>
    </xf>
    <xf numFmtId="0" fontId="35" fillId="0" borderId="0" xfId="0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36" fillId="33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6" fontId="31" fillId="33" borderId="0" xfId="0" applyNumberFormat="1" applyFont="1" applyFill="1" applyAlignment="1">
      <alignment horizontal="right"/>
    </xf>
    <xf numFmtId="167" fontId="31" fillId="33" borderId="0" xfId="0" applyNumberFormat="1" applyFont="1" applyFill="1" applyAlignment="1">
      <alignment horizontal="right"/>
    </xf>
    <xf numFmtId="166" fontId="31" fillId="0" borderId="0" xfId="0" applyNumberFormat="1" applyFont="1" applyAlignment="1">
      <alignment horizontal="right"/>
    </xf>
    <xf numFmtId="167" fontId="31" fillId="0" borderId="0" xfId="0" applyNumberFormat="1" applyFont="1" applyAlignment="1">
      <alignment horizontal="right"/>
    </xf>
    <xf numFmtId="167" fontId="31" fillId="33" borderId="0" xfId="0" applyNumberFormat="1" applyFont="1" applyFill="1" applyAlignment="1">
      <alignment horizontal="right" vertical="center"/>
    </xf>
    <xf numFmtId="167" fontId="31" fillId="0" borderId="0" xfId="0" applyNumberFormat="1" applyFont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165" fontId="37" fillId="0" borderId="0" xfId="0" applyNumberFormat="1" applyFont="1" applyAlignment="1">
      <alignment horizontal="center"/>
    </xf>
    <xf numFmtId="0" fontId="42" fillId="0" borderId="0" xfId="0" applyFont="1" applyAlignment="1">
      <alignment horizontal="left"/>
    </xf>
    <xf numFmtId="0" fontId="31" fillId="0" borderId="0" xfId="0" applyFont="1"/>
    <xf numFmtId="164" fontId="38" fillId="0" borderId="1" xfId="0" applyNumberFormat="1" applyFont="1" applyBorder="1" applyAlignment="1">
      <alignment horizontal="center" vertical="center"/>
    </xf>
    <xf numFmtId="167" fontId="38" fillId="0" borderId="1" xfId="0" applyNumberFormat="1" applyFont="1" applyBorder="1" applyAlignment="1">
      <alignment horizontal="center" vertical="center"/>
    </xf>
    <xf numFmtId="0" fontId="44" fillId="0" borderId="0" xfId="0" applyFont="1"/>
    <xf numFmtId="0" fontId="44" fillId="0" borderId="0" xfId="0" applyFont="1" applyAlignment="1">
      <alignment vertical="top"/>
    </xf>
    <xf numFmtId="0" fontId="46" fillId="0" borderId="0" xfId="0" applyFont="1" applyAlignment="1">
      <alignment vertical="top"/>
    </xf>
    <xf numFmtId="0" fontId="4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31" fillId="0" borderId="1" xfId="0" applyFont="1" applyBorder="1" applyAlignment="1">
      <alignment horizontal="right"/>
    </xf>
    <xf numFmtId="0" fontId="31" fillId="33" borderId="1" xfId="0" applyFont="1" applyFill="1" applyBorder="1" applyAlignment="1">
      <alignment horizontal="right"/>
    </xf>
    <xf numFmtId="4" fontId="31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166" fontId="34" fillId="0" borderId="1" xfId="0" applyNumberFormat="1" applyFont="1" applyBorder="1" applyAlignment="1">
      <alignment horizontal="right" vertical="center"/>
    </xf>
    <xf numFmtId="167" fontId="34" fillId="0" borderId="1" xfId="0" applyNumberFormat="1" applyFont="1" applyBorder="1" applyAlignment="1">
      <alignment horizontal="right" vertical="center"/>
    </xf>
    <xf numFmtId="166" fontId="34" fillId="33" borderId="1" xfId="0" applyNumberFormat="1" applyFont="1" applyFill="1" applyBorder="1" applyAlignment="1">
      <alignment horizontal="right" vertical="center"/>
    </xf>
    <xf numFmtId="167" fontId="34" fillId="33" borderId="1" xfId="0" applyNumberFormat="1" applyFont="1" applyFill="1" applyBorder="1" applyAlignment="1">
      <alignment horizontal="right" vertical="center"/>
    </xf>
    <xf numFmtId="0" fontId="44" fillId="0" borderId="0" xfId="0" applyFont="1" applyAlignment="1">
      <alignment vertical="top" wrapText="1"/>
    </xf>
    <xf numFmtId="0" fontId="45" fillId="0" borderId="0" xfId="0" applyFont="1" applyAlignment="1">
      <alignment horizontal="left"/>
    </xf>
    <xf numFmtId="0" fontId="48" fillId="0" borderId="0" xfId="0" applyFont="1"/>
    <xf numFmtId="0" fontId="6" fillId="0" borderId="0" xfId="0" applyFont="1"/>
    <xf numFmtId="167" fontId="52" fillId="0" borderId="0" xfId="0" applyNumberFormat="1" applyFont="1" applyAlignment="1">
      <alignment horizontal="right" vertical="center"/>
    </xf>
    <xf numFmtId="167" fontId="51" fillId="0" borderId="0" xfId="0" applyNumberFormat="1" applyFont="1" applyAlignment="1">
      <alignment horizontal="right" vertical="center"/>
    </xf>
    <xf numFmtId="167" fontId="51" fillId="0" borderId="0" xfId="0" applyNumberFormat="1" applyFont="1" applyAlignment="1">
      <alignment horizontal="right"/>
    </xf>
    <xf numFmtId="166" fontId="52" fillId="0" borderId="1" xfId="0" applyNumberFormat="1" applyFont="1" applyBorder="1" applyAlignment="1">
      <alignment horizontal="right" vertical="center"/>
    </xf>
    <xf numFmtId="167" fontId="52" fillId="0" borderId="1" xfId="0" applyNumberFormat="1" applyFont="1" applyBorder="1" applyAlignment="1">
      <alignment horizontal="right" vertical="center"/>
    </xf>
    <xf numFmtId="167" fontId="53" fillId="0" borderId="0" xfId="0" applyNumberFormat="1" applyFont="1" applyAlignment="1">
      <alignment horizontal="right" vertical="center"/>
    </xf>
    <xf numFmtId="4" fontId="54" fillId="0" borderId="0" xfId="0" applyNumberFormat="1" applyFont="1" applyAlignment="1">
      <alignment horizontal="right"/>
    </xf>
    <xf numFmtId="167" fontId="55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0" fontId="12" fillId="0" borderId="0" xfId="0" applyFont="1"/>
    <xf numFmtId="166" fontId="30" fillId="0" borderId="11" xfId="0" applyNumberFormat="1" applyFont="1" applyBorder="1" applyAlignment="1">
      <alignment wrapText="1"/>
    </xf>
    <xf numFmtId="166" fontId="8" fillId="0" borderId="11" xfId="0" applyNumberFormat="1" applyFont="1" applyBorder="1" applyAlignment="1">
      <alignment horizontal="right"/>
    </xf>
    <xf numFmtId="167" fontId="54" fillId="0" borderId="0" xfId="0" applyNumberFormat="1" applyFont="1" applyAlignment="1">
      <alignment horizontal="right"/>
    </xf>
    <xf numFmtId="4" fontId="54" fillId="33" borderId="0" xfId="0" applyNumberFormat="1" applyFont="1" applyFill="1" applyAlignment="1">
      <alignment horizontal="right"/>
    </xf>
    <xf numFmtId="4" fontId="31" fillId="33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0" fontId="58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166" fontId="34" fillId="33" borderId="0" xfId="0" applyNumberFormat="1" applyFont="1" applyFill="1" applyAlignment="1">
      <alignment horizontal="right"/>
    </xf>
    <xf numFmtId="167" fontId="34" fillId="33" borderId="0" xfId="0" applyNumberFormat="1" applyFont="1" applyFill="1" applyAlignment="1">
      <alignment horizontal="right"/>
    </xf>
    <xf numFmtId="166" fontId="34" fillId="0" borderId="0" xfId="0" applyNumberFormat="1" applyFont="1" applyAlignment="1">
      <alignment horizontal="right"/>
    </xf>
    <xf numFmtId="167" fontId="53" fillId="0" borderId="0" xfId="0" applyNumberFormat="1" applyFont="1" applyAlignment="1">
      <alignment horizontal="right"/>
    </xf>
    <xf numFmtId="167" fontId="34" fillId="0" borderId="0" xfId="0" applyNumberFormat="1" applyFont="1" applyAlignment="1">
      <alignment horizontal="right"/>
    </xf>
    <xf numFmtId="0" fontId="34" fillId="0" borderId="0" xfId="0" applyFont="1"/>
    <xf numFmtId="167" fontId="52" fillId="0" borderId="0" xfId="0" applyNumberFormat="1" applyFont="1" applyAlignment="1">
      <alignment horizontal="right"/>
    </xf>
    <xf numFmtId="0" fontId="4" fillId="0" borderId="11" xfId="0" applyFont="1" applyBorder="1"/>
    <xf numFmtId="0" fontId="4" fillId="0" borderId="0" xfId="0" applyFont="1"/>
    <xf numFmtId="0" fontId="7" fillId="0" borderId="11" xfId="0" applyFont="1" applyBorder="1"/>
    <xf numFmtId="0" fontId="38" fillId="0" borderId="0" xfId="0" applyFont="1"/>
    <xf numFmtId="166" fontId="9" fillId="0" borderId="11" xfId="0" applyNumberFormat="1" applyFont="1" applyBorder="1" applyAlignment="1">
      <alignment horizontal="right"/>
    </xf>
    <xf numFmtId="0" fontId="35" fillId="0" borderId="0" xfId="0" applyFont="1"/>
    <xf numFmtId="0" fontId="35" fillId="0" borderId="1" xfId="0" applyFont="1" applyBorder="1" applyAlignment="1">
      <alignment vertical="top"/>
    </xf>
    <xf numFmtId="166" fontId="9" fillId="0" borderId="1" xfId="0" applyNumberFormat="1" applyFont="1" applyBorder="1" applyAlignment="1">
      <alignment horizontal="right" vertical="top"/>
    </xf>
    <xf numFmtId="166" fontId="9" fillId="0" borderId="14" xfId="0" applyNumberFormat="1" applyFont="1" applyBorder="1" applyAlignment="1">
      <alignment horizontal="right" vertical="top"/>
    </xf>
    <xf numFmtId="167" fontId="9" fillId="0" borderId="1" xfId="0" applyNumberFormat="1" applyFont="1" applyBorder="1" applyAlignment="1">
      <alignment horizontal="right" vertical="top"/>
    </xf>
    <xf numFmtId="166" fontId="34" fillId="33" borderId="1" xfId="0" applyNumberFormat="1" applyFont="1" applyFill="1" applyBorder="1" applyAlignment="1">
      <alignment horizontal="right" vertical="top"/>
    </xf>
    <xf numFmtId="167" fontId="34" fillId="33" borderId="1" xfId="0" applyNumberFormat="1" applyFont="1" applyFill="1" applyBorder="1" applyAlignment="1">
      <alignment horizontal="right" vertical="top"/>
    </xf>
    <xf numFmtId="166" fontId="34" fillId="0" borderId="1" xfId="0" applyNumberFormat="1" applyFont="1" applyBorder="1" applyAlignment="1">
      <alignment horizontal="right" vertical="top"/>
    </xf>
    <xf numFmtId="167" fontId="34" fillId="0" borderId="1" xfId="0" applyNumberFormat="1" applyFont="1" applyBorder="1" applyAlignment="1">
      <alignment horizontal="right" vertical="top"/>
    </xf>
    <xf numFmtId="167" fontId="53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167" fontId="2" fillId="0" borderId="0" xfId="0" applyNumberFormat="1" applyFont="1"/>
    <xf numFmtId="165" fontId="65" fillId="33" borderId="0" xfId="0" applyNumberFormat="1" applyFont="1" applyFill="1" applyAlignment="1">
      <alignment horizontal="center"/>
    </xf>
    <xf numFmtId="165" fontId="65" fillId="0" borderId="0" xfId="0" applyNumberFormat="1" applyFont="1" applyAlignment="1">
      <alignment horizontal="left"/>
    </xf>
    <xf numFmtId="165" fontId="65" fillId="33" borderId="0" xfId="0" applyNumberFormat="1" applyFont="1" applyFill="1" applyAlignment="1">
      <alignment horizontal="left"/>
    </xf>
    <xf numFmtId="165" fontId="37" fillId="0" borderId="0" xfId="0" applyNumberFormat="1" applyFont="1" applyAlignment="1">
      <alignment horizontal="center"/>
    </xf>
    <xf numFmtId="165" fontId="65" fillId="0" borderId="0" xfId="0" applyNumberFormat="1" applyFont="1" applyAlignment="1">
      <alignment horizontal="center"/>
    </xf>
    <xf numFmtId="165" fontId="40" fillId="0" borderId="0" xfId="0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166" fontId="30" fillId="0" borderId="1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4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horizontal="left"/>
    </xf>
    <xf numFmtId="0" fontId="32" fillId="0" borderId="13" xfId="0" applyFont="1" applyBorder="1" applyAlignment="1">
      <alignment horizontal="left"/>
    </xf>
    <xf numFmtId="0" fontId="32" fillId="0" borderId="0" xfId="0" applyFont="1" applyAlignment="1">
      <alignment horizontal="left"/>
    </xf>
    <xf numFmtId="165" fontId="40" fillId="0" borderId="0" xfId="0" applyNumberFormat="1" applyFont="1" applyAlignment="1">
      <alignment horizontal="left"/>
    </xf>
    <xf numFmtId="0" fontId="39" fillId="0" borderId="0" xfId="0" applyFont="1" applyAlignment="1">
      <alignment horizontal="left" vertical="center"/>
    </xf>
    <xf numFmtId="0" fontId="37" fillId="0" borderId="1" xfId="0" applyFont="1" applyBorder="1" applyAlignment="1">
      <alignment horizontal="left"/>
    </xf>
    <xf numFmtId="0" fontId="6" fillId="0" borderId="0" xfId="0" applyFont="1" applyAlignment="1">
      <alignment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5000000}"/>
    <cellStyle name="Note 2" xfId="42" xr:uid="{00000000-0005-0000-0000-000026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54806</xdr:rowOff>
    </xdr:from>
    <xdr:to>
      <xdr:col>74</xdr:col>
      <xdr:colOff>279717</xdr:colOff>
      <xdr:row>1</xdr:row>
      <xdr:rowOff>8659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54806"/>
          <a:ext cx="9680892" cy="144353"/>
          <a:chOff x="0" y="9932317"/>
          <a:chExt cx="9503980" cy="140846"/>
        </a:xfrm>
      </xdr:grpSpPr>
      <xdr:pic>
        <xdr:nvPicPr>
          <xdr:cNvPr id="16" name="Picture 2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8008" y="9932317"/>
            <a:ext cx="1263248" cy="97318"/>
          </a:xfrm>
          <a:prstGeom prst="rect">
            <a:avLst/>
          </a:prstGeom>
          <a:noFill/>
        </xdr:spPr>
      </xdr:pic>
      <xdr:sp macro="" textlink="">
        <xdr:nvSpPr>
          <xdr:cNvPr id="17" name="Line 2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0" y="10064201"/>
            <a:ext cx="9503980" cy="8962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54</xdr:row>
      <xdr:rowOff>58616</xdr:rowOff>
    </xdr:from>
    <xdr:to>
      <xdr:col>74</xdr:col>
      <xdr:colOff>277812</xdr:colOff>
      <xdr:row>55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0" y="8069141"/>
          <a:ext cx="9678987" cy="131884"/>
          <a:chOff x="0" y="9932317"/>
          <a:chExt cx="9503980" cy="140846"/>
        </a:xfrm>
      </xdr:grpSpPr>
      <xdr:pic>
        <xdr:nvPicPr>
          <xdr:cNvPr id="9" name="Picture 2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8008" y="9932317"/>
            <a:ext cx="1263248" cy="97318"/>
          </a:xfrm>
          <a:prstGeom prst="rect">
            <a:avLst/>
          </a:prstGeom>
          <a:noFill/>
        </xdr:spPr>
      </xdr:pic>
      <xdr:sp macro="" textlink="">
        <xdr:nvSpPr>
          <xdr:cNvPr id="10" name="Line 2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0" y="10064201"/>
            <a:ext cx="9503980" cy="8962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96"/>
  <sheetViews>
    <sheetView showGridLines="0" tabSelected="1" view="pageBreakPreview" zoomScaleNormal="120" zoomScaleSheetLayoutView="100" workbookViewId="0">
      <selection activeCell="BX58" sqref="BX58"/>
    </sheetView>
  </sheetViews>
  <sheetFormatPr defaultColWidth="11.42578125" defaultRowHeight="12.75"/>
  <cols>
    <col min="1" max="1" width="1.7109375" customWidth="1"/>
    <col min="2" max="3" width="0.7109375" customWidth="1"/>
    <col min="4" max="4" width="29" customWidth="1"/>
    <col min="5" max="6" width="5.7109375" style="4" hidden="1" customWidth="1"/>
    <col min="7" max="7" width="2.28515625" style="4" hidden="1" customWidth="1"/>
    <col min="8" max="9" width="5.7109375" style="4" hidden="1" customWidth="1"/>
    <col min="10" max="10" width="2.28515625" style="4" hidden="1" customWidth="1"/>
    <col min="11" max="12" width="6" style="4" hidden="1" customWidth="1"/>
    <col min="13" max="13" width="2.28515625" style="4" hidden="1" customWidth="1"/>
    <col min="14" max="15" width="6" style="4" hidden="1" customWidth="1"/>
    <col min="16" max="16" width="2.28515625" style="4" hidden="1" customWidth="1"/>
    <col min="17" max="18" width="6" style="4" hidden="1" customWidth="1"/>
    <col min="19" max="19" width="2.28515625" style="4" hidden="1" customWidth="1"/>
    <col min="20" max="21" width="6" style="4" hidden="1" customWidth="1"/>
    <col min="22" max="22" width="2.28515625" style="4" hidden="1" customWidth="1"/>
    <col min="23" max="24" width="6" style="4" hidden="1" customWidth="1"/>
    <col min="25" max="25" width="2.28515625" style="4" hidden="1" customWidth="1"/>
    <col min="26" max="27" width="6.28515625" style="4" hidden="1" customWidth="1"/>
    <col min="28" max="28" width="1.7109375" style="4" hidden="1" customWidth="1"/>
    <col min="29" max="30" width="6.28515625" style="4" hidden="1" customWidth="1"/>
    <col min="31" max="31" width="1.7109375" style="4" hidden="1" customWidth="1"/>
    <col min="32" max="33" width="6.28515625" style="4" hidden="1" customWidth="1"/>
    <col min="34" max="34" width="1.7109375" style="4" hidden="1" customWidth="1"/>
    <col min="35" max="36" width="6.28515625" style="4" hidden="1" customWidth="1"/>
    <col min="37" max="37" width="1.7109375" style="4" hidden="1" customWidth="1"/>
    <col min="38" max="39" width="7.42578125" style="4" hidden="1" customWidth="1"/>
    <col min="40" max="40" width="18.28515625" style="4" hidden="1" customWidth="1"/>
    <col min="41" max="42" width="8.7109375" style="4" hidden="1" customWidth="1"/>
    <col min="43" max="43" width="4.7109375" style="4" hidden="1" customWidth="1"/>
    <col min="44" max="45" width="8.7109375" style="4" hidden="1" customWidth="1"/>
    <col min="46" max="46" width="4.28515625" style="4" hidden="1" customWidth="1"/>
    <col min="47" max="50" width="8.7109375" style="4" hidden="1" customWidth="1"/>
    <col min="51" max="51" width="4.28515625" style="4" hidden="1" customWidth="1"/>
    <col min="52" max="52" width="8.7109375" style="4" hidden="1" customWidth="1"/>
    <col min="53" max="53" width="9.7109375" style="4" hidden="1" customWidth="1"/>
    <col min="54" max="54" width="4.28515625" style="4" hidden="1" customWidth="1"/>
    <col min="55" max="55" width="8.7109375" style="4" hidden="1" customWidth="1"/>
    <col min="56" max="56" width="10.28515625" style="4" hidden="1" customWidth="1"/>
    <col min="57" max="57" width="4.28515625" style="4" hidden="1" customWidth="1"/>
    <col min="58" max="58" width="8.7109375" style="4" hidden="1" customWidth="1"/>
    <col min="59" max="59" width="9.7109375" style="4" hidden="1" customWidth="1"/>
    <col min="60" max="60" width="4.28515625" style="4" hidden="1" customWidth="1"/>
    <col min="61" max="61" width="8.7109375" style="4" customWidth="1"/>
    <col min="62" max="62" width="9.85546875" style="4" customWidth="1"/>
    <col min="63" max="63" width="4.28515625" style="4" customWidth="1"/>
    <col min="64" max="65" width="8.7109375" style="4" customWidth="1"/>
    <col min="66" max="66" width="4.28515625" style="4" customWidth="1"/>
    <col min="67" max="67" width="8.7109375" style="4" customWidth="1"/>
    <col min="68" max="68" width="9.85546875" style="4" customWidth="1"/>
    <col min="69" max="69" width="4.28515625" style="4" customWidth="1"/>
    <col min="70" max="70" width="8.7109375" style="4" customWidth="1"/>
    <col min="71" max="71" width="9.85546875" style="4" customWidth="1"/>
    <col min="72" max="72" width="4.28515625" style="4" customWidth="1"/>
    <col min="73" max="73" width="8.7109375" style="4" customWidth="1"/>
    <col min="74" max="74" width="9.85546875" style="4" customWidth="1"/>
    <col min="75" max="75" width="4.28515625" style="4" customWidth="1"/>
  </cols>
  <sheetData>
    <row r="1" spans="1:75" ht="15" customHeight="1">
      <c r="A1" t="s">
        <v>0</v>
      </c>
    </row>
    <row r="2" spans="1:75" s="61" customFormat="1" ht="21" customHeight="1">
      <c r="A2" s="93" t="s">
        <v>39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</row>
    <row r="3" spans="1:75" s="43" customFormat="1">
      <c r="A3" s="41" t="s">
        <v>11</v>
      </c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</row>
    <row r="4" spans="1:75" s="53" customFormat="1" ht="13.5">
      <c r="A4" s="51"/>
      <c r="B4" s="51"/>
      <c r="C4" s="51"/>
      <c r="D4" s="51"/>
      <c r="E4" s="52" t="s">
        <v>9</v>
      </c>
      <c r="F4" s="52"/>
      <c r="G4" s="52"/>
      <c r="H4" s="52" t="s">
        <v>10</v>
      </c>
      <c r="I4" s="52"/>
      <c r="J4" s="52"/>
      <c r="K4" s="52" t="s">
        <v>13</v>
      </c>
      <c r="L4" s="52"/>
      <c r="M4" s="52"/>
      <c r="N4" s="52" t="s">
        <v>14</v>
      </c>
      <c r="O4" s="52"/>
      <c r="P4" s="52"/>
      <c r="Q4" s="52" t="s">
        <v>33</v>
      </c>
      <c r="R4" s="52"/>
      <c r="S4" s="52"/>
      <c r="T4" s="52" t="s">
        <v>22</v>
      </c>
      <c r="U4" s="52"/>
      <c r="V4" s="52"/>
      <c r="W4" s="122" t="s">
        <v>23</v>
      </c>
      <c r="X4" s="122"/>
      <c r="Y4" s="52"/>
      <c r="Z4" s="122" t="s">
        <v>25</v>
      </c>
      <c r="AA4" s="122"/>
      <c r="AB4" s="52"/>
      <c r="AC4" s="122" t="s">
        <v>26</v>
      </c>
      <c r="AD4" s="122"/>
      <c r="AE4" s="52"/>
      <c r="AF4" s="122" t="s">
        <v>27</v>
      </c>
      <c r="AG4" s="122"/>
      <c r="AH4" s="52"/>
      <c r="AI4" s="122" t="s">
        <v>28</v>
      </c>
      <c r="AJ4" s="122"/>
      <c r="AK4" s="52"/>
      <c r="AL4" s="122" t="s">
        <v>29</v>
      </c>
      <c r="AM4" s="122"/>
      <c r="AN4" s="52"/>
      <c r="AO4" s="124" t="s">
        <v>34</v>
      </c>
      <c r="AP4" s="122"/>
      <c r="AQ4" s="52"/>
      <c r="AR4" s="134" t="s">
        <v>35</v>
      </c>
      <c r="AS4" s="134"/>
      <c r="AT4" s="134"/>
      <c r="AU4" s="121" t="s">
        <v>44</v>
      </c>
      <c r="AV4" s="121"/>
      <c r="AW4" s="120" t="s">
        <v>45</v>
      </c>
      <c r="AX4" s="120"/>
      <c r="AY4" s="120"/>
      <c r="AZ4" s="121" t="s">
        <v>46</v>
      </c>
      <c r="BA4" s="121"/>
      <c r="BB4" s="121"/>
      <c r="BC4" s="120" t="s">
        <v>47</v>
      </c>
      <c r="BD4" s="120"/>
      <c r="BE4" s="120"/>
      <c r="BF4" s="121" t="s">
        <v>48</v>
      </c>
      <c r="BG4" s="121"/>
      <c r="BH4" s="121"/>
      <c r="BI4" s="119">
        <v>2020</v>
      </c>
      <c r="BJ4" s="119"/>
      <c r="BK4" s="119"/>
      <c r="BL4" s="123">
        <v>2021</v>
      </c>
      <c r="BM4" s="123"/>
      <c r="BN4" s="123"/>
      <c r="BO4" s="119">
        <v>2022</v>
      </c>
      <c r="BP4" s="119"/>
      <c r="BQ4" s="119"/>
      <c r="BR4" s="123">
        <v>2023</v>
      </c>
      <c r="BS4" s="123"/>
      <c r="BT4" s="123"/>
      <c r="BU4" s="119">
        <v>2024</v>
      </c>
      <c r="BV4" s="119"/>
      <c r="BW4" s="119"/>
    </row>
    <row r="5" spans="1:75" s="54" customFormat="1" ht="12" customHeight="1">
      <c r="A5" s="136" t="s">
        <v>16</v>
      </c>
      <c r="B5" s="136"/>
      <c r="C5" s="136"/>
      <c r="D5" s="136"/>
      <c r="E5" s="62" t="s">
        <v>7</v>
      </c>
      <c r="F5" s="62" t="s">
        <v>12</v>
      </c>
      <c r="G5" s="62"/>
      <c r="H5" s="62" t="s">
        <v>8</v>
      </c>
      <c r="I5" s="62" t="s">
        <v>12</v>
      </c>
      <c r="J5" s="62"/>
      <c r="K5" s="62" t="s">
        <v>8</v>
      </c>
      <c r="L5" s="62" t="s">
        <v>12</v>
      </c>
      <c r="M5" s="62"/>
      <c r="N5" s="62" t="s">
        <v>8</v>
      </c>
      <c r="O5" s="62" t="s">
        <v>12</v>
      </c>
      <c r="P5" s="62"/>
      <c r="Q5" s="62" t="s">
        <v>8</v>
      </c>
      <c r="R5" s="62" t="s">
        <v>12</v>
      </c>
      <c r="S5" s="62"/>
      <c r="T5" s="62" t="s">
        <v>8</v>
      </c>
      <c r="U5" s="62" t="s">
        <v>12</v>
      </c>
      <c r="V5" s="62"/>
      <c r="W5" s="62" t="s">
        <v>8</v>
      </c>
      <c r="X5" s="62" t="s">
        <v>12</v>
      </c>
      <c r="Y5" s="62"/>
      <c r="Z5" s="62" t="s">
        <v>8</v>
      </c>
      <c r="AA5" s="62" t="s">
        <v>12</v>
      </c>
      <c r="AB5" s="62"/>
      <c r="AC5" s="62" t="s">
        <v>8</v>
      </c>
      <c r="AD5" s="62" t="s">
        <v>12</v>
      </c>
      <c r="AE5" s="62"/>
      <c r="AF5" s="62" t="s">
        <v>8</v>
      </c>
      <c r="AG5" s="62" t="s">
        <v>12</v>
      </c>
      <c r="AH5" s="62"/>
      <c r="AI5" s="62" t="s">
        <v>8</v>
      </c>
      <c r="AJ5" s="62" t="s">
        <v>12</v>
      </c>
      <c r="AK5" s="62"/>
      <c r="AL5" s="62" t="s">
        <v>8</v>
      </c>
      <c r="AM5" s="62" t="s">
        <v>12</v>
      </c>
      <c r="AN5" s="62"/>
      <c r="AO5" s="62" t="s">
        <v>8</v>
      </c>
      <c r="AP5" s="62" t="s">
        <v>12</v>
      </c>
      <c r="AQ5" s="62"/>
      <c r="AR5" s="62" t="s">
        <v>32</v>
      </c>
      <c r="AS5" s="62" t="s">
        <v>12</v>
      </c>
      <c r="AT5" s="62"/>
      <c r="AU5" s="63" t="s">
        <v>32</v>
      </c>
      <c r="AV5" s="63" t="s">
        <v>12</v>
      </c>
      <c r="AW5" s="62" t="s">
        <v>32</v>
      </c>
      <c r="AX5" s="62" t="s">
        <v>12</v>
      </c>
      <c r="AY5" s="62"/>
      <c r="AZ5" s="63" t="s">
        <v>32</v>
      </c>
      <c r="BA5" s="63" t="s">
        <v>12</v>
      </c>
      <c r="BB5" s="63"/>
      <c r="BC5" s="62" t="s">
        <v>32</v>
      </c>
      <c r="BD5" s="62" t="s">
        <v>12</v>
      </c>
      <c r="BE5" s="62"/>
      <c r="BF5" s="63" t="s">
        <v>32</v>
      </c>
      <c r="BG5" s="63" t="s">
        <v>12</v>
      </c>
      <c r="BH5" s="63"/>
      <c r="BI5" s="63" t="s">
        <v>32</v>
      </c>
      <c r="BJ5" s="63" t="s">
        <v>12</v>
      </c>
      <c r="BK5" s="63"/>
      <c r="BL5" s="62" t="s">
        <v>32</v>
      </c>
      <c r="BM5" s="62" t="s">
        <v>12</v>
      </c>
      <c r="BN5" s="62"/>
      <c r="BO5" s="63" t="s">
        <v>32</v>
      </c>
      <c r="BP5" s="63" t="s">
        <v>12</v>
      </c>
      <c r="BQ5" s="63"/>
      <c r="BR5" s="62" t="s">
        <v>32</v>
      </c>
      <c r="BS5" s="62" t="s">
        <v>12</v>
      </c>
      <c r="BT5" s="62"/>
      <c r="BU5" s="63" t="s">
        <v>32</v>
      </c>
      <c r="BV5" s="63" t="s">
        <v>12</v>
      </c>
      <c r="BW5" s="63"/>
    </row>
    <row r="6" spans="1:75" s="2" customFormat="1" ht="15" customHeight="1">
      <c r="A6" s="132" t="s">
        <v>24</v>
      </c>
      <c r="B6" s="132"/>
      <c r="C6" s="132"/>
      <c r="D6" s="132"/>
      <c r="E6" s="24">
        <f t="shared" ref="E6:AM6" si="0">SUM(E7:E13)</f>
        <v>1299</v>
      </c>
      <c r="F6" s="24">
        <f t="shared" si="0"/>
        <v>1014.97</v>
      </c>
      <c r="G6" s="24">
        <f t="shared" si="0"/>
        <v>0</v>
      </c>
      <c r="H6" s="24">
        <f t="shared" si="0"/>
        <v>1289</v>
      </c>
      <c r="I6" s="24">
        <f t="shared" si="0"/>
        <v>981.91</v>
      </c>
      <c r="J6" s="24">
        <f t="shared" si="0"/>
        <v>0</v>
      </c>
      <c r="K6" s="24">
        <f t="shared" si="0"/>
        <v>1227</v>
      </c>
      <c r="L6" s="24">
        <f t="shared" si="0"/>
        <v>931.42000000000007</v>
      </c>
      <c r="M6" s="24">
        <f t="shared" si="0"/>
        <v>0</v>
      </c>
      <c r="N6" s="24">
        <f t="shared" si="0"/>
        <v>1253</v>
      </c>
      <c r="O6" s="24">
        <f t="shared" si="0"/>
        <v>918.31999999999994</v>
      </c>
      <c r="P6" s="24">
        <f t="shared" si="0"/>
        <v>0</v>
      </c>
      <c r="Q6" s="24">
        <f t="shared" si="0"/>
        <v>1241</v>
      </c>
      <c r="R6" s="24">
        <f t="shared" si="0"/>
        <v>918.7600000000001</v>
      </c>
      <c r="S6" s="24">
        <f t="shared" si="0"/>
        <v>0</v>
      </c>
      <c r="T6" s="24">
        <f t="shared" si="0"/>
        <v>1193</v>
      </c>
      <c r="U6" s="24">
        <f t="shared" si="0"/>
        <v>878.23999999999978</v>
      </c>
      <c r="V6" s="24">
        <f t="shared" si="0"/>
        <v>0</v>
      </c>
      <c r="W6" s="24">
        <f t="shared" si="0"/>
        <v>1189</v>
      </c>
      <c r="X6" s="24">
        <f t="shared" si="0"/>
        <v>885.17000000000007</v>
      </c>
      <c r="Y6" s="24">
        <f t="shared" si="0"/>
        <v>0</v>
      </c>
      <c r="Z6" s="24">
        <f t="shared" si="0"/>
        <v>1190</v>
      </c>
      <c r="AA6" s="24">
        <f t="shared" si="0"/>
        <v>886.15000000000009</v>
      </c>
      <c r="AB6" s="24">
        <f t="shared" si="0"/>
        <v>0</v>
      </c>
      <c r="AC6" s="24">
        <f t="shared" si="0"/>
        <v>1189</v>
      </c>
      <c r="AD6" s="24">
        <f t="shared" si="0"/>
        <v>901.35</v>
      </c>
      <c r="AE6" s="24">
        <f t="shared" si="0"/>
        <v>0</v>
      </c>
      <c r="AF6" s="24">
        <f t="shared" si="0"/>
        <v>1149</v>
      </c>
      <c r="AG6" s="24">
        <f t="shared" si="0"/>
        <v>823</v>
      </c>
      <c r="AH6" s="24">
        <f t="shared" si="0"/>
        <v>0</v>
      </c>
      <c r="AI6" s="24">
        <f t="shared" si="0"/>
        <v>1132</v>
      </c>
      <c r="AJ6" s="24">
        <f t="shared" si="0"/>
        <v>819</v>
      </c>
      <c r="AK6" s="24">
        <f t="shared" si="0"/>
        <v>0</v>
      </c>
      <c r="AL6" s="24">
        <f t="shared" si="0"/>
        <v>1147</v>
      </c>
      <c r="AM6" s="24">
        <f t="shared" si="0"/>
        <v>848.13999999999987</v>
      </c>
      <c r="AN6" s="30"/>
      <c r="AO6" s="24">
        <f t="shared" ref="AO6:AP6" si="1">SUM(AO7:AO13)</f>
        <v>1151</v>
      </c>
      <c r="AP6" s="29">
        <f t="shared" si="1"/>
        <v>923.76</v>
      </c>
      <c r="AQ6" s="29"/>
      <c r="AR6" s="24">
        <f t="shared" ref="AR6:AS6" si="2">SUM(AR7:AR13)</f>
        <v>1204</v>
      </c>
      <c r="AS6" s="29">
        <f t="shared" si="2"/>
        <v>946.41000000000008</v>
      </c>
      <c r="AT6" s="29"/>
      <c r="AU6" s="44">
        <f t="shared" ref="AU6:AV6" si="3">SUM(AU7:AU13)</f>
        <v>1202</v>
      </c>
      <c r="AV6" s="45">
        <f t="shared" si="3"/>
        <v>971.39999999999986</v>
      </c>
      <c r="AW6" s="46">
        <f t="shared" ref="AW6:AX6" si="4">SUM(AW7:AW13)</f>
        <v>1190</v>
      </c>
      <c r="AX6" s="47">
        <f t="shared" si="4"/>
        <v>969.59</v>
      </c>
      <c r="AY6" s="47"/>
      <c r="AZ6" s="44">
        <f>SUM(AZ7:AZ13)</f>
        <v>1191</v>
      </c>
      <c r="BA6" s="45">
        <f>SUM(BA7:BA13)</f>
        <v>959.19999999999993</v>
      </c>
      <c r="BB6" s="45"/>
      <c r="BC6" s="46">
        <f>SUM(BC7:BC13)</f>
        <v>1152</v>
      </c>
      <c r="BD6" s="64">
        <f>SUM(BD7:BD13)</f>
        <v>930.30830000000003</v>
      </c>
      <c r="BE6" s="47"/>
      <c r="BF6" s="44">
        <f>SUM(BF7:BF13)</f>
        <v>1107</v>
      </c>
      <c r="BG6" s="45">
        <f>SUM(BG7:BG13)</f>
        <v>896.28580000000011</v>
      </c>
      <c r="BH6" s="45"/>
      <c r="BI6" s="44">
        <f>SUM(BI7:BI13)</f>
        <v>1096</v>
      </c>
      <c r="BJ6" s="88">
        <f>SUM(BJ7:BJ13)</f>
        <v>881.37999999999988</v>
      </c>
      <c r="BK6" s="45"/>
      <c r="BL6" s="46">
        <f>SUM(BL7:BL13)</f>
        <v>1205</v>
      </c>
      <c r="BM6" s="80">
        <f>SUM(BM7:BM13)</f>
        <v>981.51829999999995</v>
      </c>
      <c r="BN6" s="47"/>
      <c r="BO6" s="44">
        <f>SUM(BO7:BO13)</f>
        <v>1244</v>
      </c>
      <c r="BP6" s="88">
        <f>SUM(BP7:BP13)</f>
        <v>1015.5434999999998</v>
      </c>
      <c r="BQ6" s="45"/>
      <c r="BR6" s="46">
        <f>SUM(BR7:BR13)</f>
        <v>1242</v>
      </c>
      <c r="BS6" s="80">
        <f>SUM(BS7:BS13)</f>
        <v>1011.6643</v>
      </c>
      <c r="BT6" s="47"/>
      <c r="BU6" s="44">
        <f>SUM(BU7:BU13)</f>
        <v>1170</v>
      </c>
      <c r="BV6" s="88">
        <f>SUM(BV7:BV13)</f>
        <v>950.17960000000016</v>
      </c>
      <c r="BW6" s="45"/>
    </row>
    <row r="7" spans="1:75" s="32" customFormat="1" ht="10.9" customHeight="1">
      <c r="B7" s="32" t="s">
        <v>17</v>
      </c>
      <c r="D7" s="100"/>
      <c r="E7" s="33">
        <v>302</v>
      </c>
      <c r="F7" s="33">
        <f>237.87+47.16</f>
        <v>285.02999999999997</v>
      </c>
      <c r="G7" s="33"/>
      <c r="H7" s="33">
        <v>293</v>
      </c>
      <c r="I7" s="33">
        <f>225.8+45.35</f>
        <v>271.15000000000003</v>
      </c>
      <c r="J7" s="33"/>
      <c r="K7" s="33">
        <v>286</v>
      </c>
      <c r="L7" s="33">
        <v>261</v>
      </c>
      <c r="M7" s="33"/>
      <c r="N7" s="33">
        <f>227+42</f>
        <v>269</v>
      </c>
      <c r="O7" s="33">
        <f>202+42</f>
        <v>244</v>
      </c>
      <c r="P7" s="33"/>
      <c r="Q7" s="33">
        <f>236+42</f>
        <v>278</v>
      </c>
      <c r="R7" s="33">
        <f>208.18+40.71</f>
        <v>248.89000000000001</v>
      </c>
      <c r="S7" s="33"/>
      <c r="T7" s="33">
        <f>233+39</f>
        <v>272</v>
      </c>
      <c r="U7" s="33">
        <f>208.03+37.01</f>
        <v>245.04</v>
      </c>
      <c r="V7" s="33"/>
      <c r="W7" s="33">
        <f>231+37</f>
        <v>268</v>
      </c>
      <c r="X7" s="33">
        <f>204.08+36.39</f>
        <v>240.47000000000003</v>
      </c>
      <c r="Y7" s="33"/>
      <c r="Z7" s="33">
        <f>227+45</f>
        <v>272</v>
      </c>
      <c r="AA7" s="33">
        <f>206.7+45.42</f>
        <v>252.12</v>
      </c>
      <c r="AB7" s="33"/>
      <c r="AC7" s="33">
        <v>280</v>
      </c>
      <c r="AD7" s="33">
        <v>240</v>
      </c>
      <c r="AE7" s="33"/>
      <c r="AF7" s="33">
        <v>272</v>
      </c>
      <c r="AG7" s="33">
        <v>225</v>
      </c>
      <c r="AH7" s="33"/>
      <c r="AI7" s="33">
        <v>272</v>
      </c>
      <c r="AJ7" s="33">
        <v>227</v>
      </c>
      <c r="AK7" s="33"/>
      <c r="AL7" s="33">
        <v>271</v>
      </c>
      <c r="AM7" s="33">
        <v>224.03</v>
      </c>
      <c r="AN7" s="34"/>
      <c r="AO7" s="33">
        <v>249</v>
      </c>
      <c r="AP7" s="35">
        <v>245.93</v>
      </c>
      <c r="AQ7" s="35"/>
      <c r="AR7" s="33">
        <v>259</v>
      </c>
      <c r="AS7" s="35">
        <v>240.65</v>
      </c>
      <c r="AT7" s="35"/>
      <c r="AU7" s="36">
        <v>258</v>
      </c>
      <c r="AV7" s="37">
        <v>253.65</v>
      </c>
      <c r="AW7" s="33">
        <f>208+48</f>
        <v>256</v>
      </c>
      <c r="AX7" s="35">
        <v>252.57</v>
      </c>
      <c r="AY7" s="35"/>
      <c r="AZ7" s="36">
        <v>264</v>
      </c>
      <c r="BA7" s="37">
        <v>259.73</v>
      </c>
      <c r="BB7" s="37"/>
      <c r="BC7" s="33">
        <v>256</v>
      </c>
      <c r="BD7" s="35">
        <v>253.23339999999999</v>
      </c>
      <c r="BE7" s="35"/>
      <c r="BF7" s="36">
        <v>245</v>
      </c>
      <c r="BG7" s="37">
        <v>241.8175</v>
      </c>
      <c r="BH7" s="37"/>
      <c r="BI7" s="95">
        <v>229</v>
      </c>
      <c r="BJ7" s="96">
        <v>225.76</v>
      </c>
      <c r="BK7" s="96"/>
      <c r="BL7" s="97">
        <v>203</v>
      </c>
      <c r="BM7" s="98">
        <v>202</v>
      </c>
      <c r="BN7" s="99"/>
      <c r="BO7" s="95">
        <v>198</v>
      </c>
      <c r="BP7" s="96">
        <v>195.15</v>
      </c>
      <c r="BQ7" s="96"/>
      <c r="BR7" s="97">
        <v>195</v>
      </c>
      <c r="BS7" s="99">
        <v>193</v>
      </c>
      <c r="BT7" s="99"/>
      <c r="BU7" s="95">
        <v>201</v>
      </c>
      <c r="BV7" s="96">
        <v>199.65</v>
      </c>
      <c r="BW7" s="37"/>
    </row>
    <row r="8" spans="1:75" s="32" customFormat="1" ht="12" customHeight="1">
      <c r="B8" s="128" t="s">
        <v>38</v>
      </c>
      <c r="C8" s="128"/>
      <c r="D8" s="128"/>
      <c r="E8" s="33">
        <v>13</v>
      </c>
      <c r="F8" s="33">
        <f>291.77-237.81-47.16</f>
        <v>6.7999999999999829</v>
      </c>
      <c r="G8" s="33"/>
      <c r="H8" s="33">
        <v>11</v>
      </c>
      <c r="I8" s="33">
        <f>279.12-225.8-45.35</f>
        <v>7.9699999999999918</v>
      </c>
      <c r="J8" s="33"/>
      <c r="K8" s="33">
        <v>11</v>
      </c>
      <c r="L8" s="33">
        <v>8</v>
      </c>
      <c r="M8" s="33"/>
      <c r="N8" s="33">
        <v>17</v>
      </c>
      <c r="O8" s="33">
        <v>14</v>
      </c>
      <c r="P8" s="33"/>
      <c r="Q8" s="33">
        <f>295-Q7</f>
        <v>17</v>
      </c>
      <c r="R8" s="33">
        <f>265.23-208.18-40.71</f>
        <v>16.340000000000011</v>
      </c>
      <c r="S8" s="33"/>
      <c r="T8" s="33">
        <f>292-T7</f>
        <v>20</v>
      </c>
      <c r="U8" s="33">
        <f>261.74-U7</f>
        <v>16.700000000000017</v>
      </c>
      <c r="V8" s="33"/>
      <c r="W8" s="33">
        <f>285-W7</f>
        <v>17</v>
      </c>
      <c r="X8" s="33">
        <f>257.25-X7</f>
        <v>16.779999999999973</v>
      </c>
      <c r="Y8" s="33"/>
      <c r="Z8" s="33">
        <f>297-Z7</f>
        <v>25</v>
      </c>
      <c r="AA8" s="33">
        <f>273.22-AA7</f>
        <v>21.100000000000023</v>
      </c>
      <c r="AB8" s="33"/>
      <c r="AC8" s="33">
        <v>24</v>
      </c>
      <c r="AD8" s="33">
        <v>22</v>
      </c>
      <c r="AE8" s="33"/>
      <c r="AF8" s="33">
        <v>30</v>
      </c>
      <c r="AG8" s="33">
        <v>24</v>
      </c>
      <c r="AH8" s="33"/>
      <c r="AI8" s="33">
        <v>35</v>
      </c>
      <c r="AJ8" s="33">
        <v>28</v>
      </c>
      <c r="AK8" s="33"/>
      <c r="AL8" s="33">
        <v>46</v>
      </c>
      <c r="AM8" s="33">
        <v>34.69</v>
      </c>
      <c r="AN8" s="127" t="s">
        <v>41</v>
      </c>
      <c r="AO8" s="33">
        <v>57</v>
      </c>
      <c r="AP8" s="35">
        <v>46.21</v>
      </c>
      <c r="AQ8" s="35"/>
      <c r="AR8" s="33">
        <v>61</v>
      </c>
      <c r="AS8" s="35">
        <v>52.16</v>
      </c>
      <c r="AT8" s="35"/>
      <c r="AU8" s="36">
        <v>65</v>
      </c>
      <c r="AV8" s="37">
        <v>57.59</v>
      </c>
      <c r="AW8" s="33">
        <v>64</v>
      </c>
      <c r="AX8" s="35">
        <v>57.4</v>
      </c>
      <c r="AY8" s="35"/>
      <c r="AZ8" s="36">
        <v>70</v>
      </c>
      <c r="BA8" s="37">
        <v>59.7</v>
      </c>
      <c r="BB8" s="37"/>
      <c r="BC8" s="33">
        <v>71</v>
      </c>
      <c r="BD8" s="35">
        <v>61.3</v>
      </c>
      <c r="BE8" s="35"/>
      <c r="BF8" s="36">
        <v>65</v>
      </c>
      <c r="BG8" s="37">
        <v>56.234999999999999</v>
      </c>
      <c r="BH8" s="37"/>
      <c r="BI8" s="36">
        <v>70</v>
      </c>
      <c r="BJ8" s="37">
        <v>59.96</v>
      </c>
      <c r="BK8" s="37"/>
      <c r="BL8" s="33">
        <v>68</v>
      </c>
      <c r="BM8" s="79">
        <v>59.234999999999999</v>
      </c>
      <c r="BN8" s="35"/>
      <c r="BO8" s="36">
        <v>64</v>
      </c>
      <c r="BP8" s="37">
        <v>57.86</v>
      </c>
      <c r="BQ8" s="37"/>
      <c r="BR8" s="33">
        <v>64</v>
      </c>
      <c r="BS8" s="35">
        <v>57.381</v>
      </c>
      <c r="BT8" s="35"/>
      <c r="BU8" s="36">
        <v>61</v>
      </c>
      <c r="BV8" s="37">
        <v>53.946000000000005</v>
      </c>
      <c r="BW8" s="37"/>
    </row>
    <row r="9" spans="1:75" s="100" customFormat="1" ht="10.9" customHeight="1">
      <c r="B9" s="126" t="s">
        <v>18</v>
      </c>
      <c r="C9" s="126"/>
      <c r="D9" s="126"/>
      <c r="E9" s="97">
        <v>298</v>
      </c>
      <c r="F9" s="97">
        <v>275.41000000000003</v>
      </c>
      <c r="G9" s="97"/>
      <c r="H9" s="97">
        <v>286</v>
      </c>
      <c r="I9" s="97">
        <v>261</v>
      </c>
      <c r="J9" s="97"/>
      <c r="K9" s="97">
        <v>284</v>
      </c>
      <c r="L9" s="97">
        <v>258.63</v>
      </c>
      <c r="M9" s="97"/>
      <c r="N9" s="97">
        <v>285</v>
      </c>
      <c r="O9" s="97">
        <v>261.39999999999998</v>
      </c>
      <c r="P9" s="97"/>
      <c r="Q9" s="97">
        <v>285</v>
      </c>
      <c r="R9" s="97">
        <v>264.52999999999997</v>
      </c>
      <c r="S9" s="97"/>
      <c r="T9" s="97">
        <v>289</v>
      </c>
      <c r="U9" s="97">
        <v>252.55</v>
      </c>
      <c r="V9" s="97"/>
      <c r="W9" s="97">
        <v>293</v>
      </c>
      <c r="X9" s="97">
        <v>263.49</v>
      </c>
      <c r="Y9" s="97"/>
      <c r="Z9" s="97">
        <v>288</v>
      </c>
      <c r="AA9" s="97">
        <v>264.16000000000003</v>
      </c>
      <c r="AB9" s="97"/>
      <c r="AC9" s="97">
        <v>303</v>
      </c>
      <c r="AD9" s="97">
        <v>286</v>
      </c>
      <c r="AE9" s="97"/>
      <c r="AF9" s="97">
        <v>292</v>
      </c>
      <c r="AG9" s="97">
        <v>256</v>
      </c>
      <c r="AH9" s="97"/>
      <c r="AI9" s="97">
        <v>292</v>
      </c>
      <c r="AJ9" s="97">
        <v>261</v>
      </c>
      <c r="AK9" s="97"/>
      <c r="AL9" s="97">
        <v>307</v>
      </c>
      <c r="AM9" s="97">
        <v>286.29000000000002</v>
      </c>
      <c r="AN9" s="127"/>
      <c r="AO9" s="97">
        <v>314</v>
      </c>
      <c r="AP9" s="99">
        <v>302.27</v>
      </c>
      <c r="AQ9" s="99"/>
      <c r="AR9" s="97">
        <v>320</v>
      </c>
      <c r="AS9" s="99">
        <v>306.12</v>
      </c>
      <c r="AT9" s="99"/>
      <c r="AU9" s="95">
        <v>342</v>
      </c>
      <c r="AV9" s="96">
        <v>332.26</v>
      </c>
      <c r="AW9" s="97">
        <v>360</v>
      </c>
      <c r="AX9" s="99">
        <v>349.53</v>
      </c>
      <c r="AY9" s="99"/>
      <c r="AZ9" s="95">
        <v>358</v>
      </c>
      <c r="BA9" s="96">
        <v>344.4</v>
      </c>
      <c r="BB9" s="96"/>
      <c r="BC9" s="97">
        <v>339</v>
      </c>
      <c r="BD9" s="99">
        <v>328.17489999999998</v>
      </c>
      <c r="BE9" s="99"/>
      <c r="BF9" s="95">
        <v>347</v>
      </c>
      <c r="BG9" s="96">
        <v>337.30830000000003</v>
      </c>
      <c r="BH9" s="96"/>
      <c r="BI9" s="95">
        <v>357</v>
      </c>
      <c r="BJ9" s="96">
        <v>346.11</v>
      </c>
      <c r="BK9" s="96"/>
      <c r="BL9" s="97">
        <v>476</v>
      </c>
      <c r="BM9" s="98">
        <v>458.20830000000001</v>
      </c>
      <c r="BN9" s="99"/>
      <c r="BO9" s="95">
        <v>497</v>
      </c>
      <c r="BP9" s="96">
        <v>479.88330000000002</v>
      </c>
      <c r="BQ9" s="96"/>
      <c r="BR9" s="97">
        <v>504</v>
      </c>
      <c r="BS9" s="99">
        <v>486.73330000000004</v>
      </c>
      <c r="BT9" s="99"/>
      <c r="BU9" s="95">
        <v>431</v>
      </c>
      <c r="BV9" s="96">
        <v>416.63330000000002</v>
      </c>
      <c r="BW9" s="96"/>
    </row>
    <row r="10" spans="1:75" s="100" customFormat="1" ht="10.9" customHeight="1">
      <c r="B10" s="126" t="s">
        <v>19</v>
      </c>
      <c r="C10" s="126"/>
      <c r="D10" s="126"/>
      <c r="E10" s="97">
        <v>0</v>
      </c>
      <c r="F10" s="97">
        <v>0</v>
      </c>
      <c r="G10" s="97"/>
      <c r="H10" s="97">
        <v>0</v>
      </c>
      <c r="I10" s="97">
        <v>0</v>
      </c>
      <c r="J10" s="97"/>
      <c r="K10" s="97">
        <v>0</v>
      </c>
      <c r="L10" s="97">
        <v>0</v>
      </c>
      <c r="M10" s="97"/>
      <c r="N10" s="97">
        <v>2</v>
      </c>
      <c r="O10" s="97">
        <v>1.67</v>
      </c>
      <c r="P10" s="97"/>
      <c r="Q10" s="97">
        <v>5</v>
      </c>
      <c r="R10" s="97">
        <v>2.4500000000000002</v>
      </c>
      <c r="S10" s="97"/>
      <c r="T10" s="97">
        <v>6</v>
      </c>
      <c r="U10" s="97">
        <v>2.06</v>
      </c>
      <c r="V10" s="97"/>
      <c r="W10" s="97">
        <v>2</v>
      </c>
      <c r="X10" s="97">
        <v>0.5</v>
      </c>
      <c r="Y10" s="97"/>
      <c r="Z10" s="97">
        <v>1</v>
      </c>
      <c r="AA10" s="97">
        <v>0.35</v>
      </c>
      <c r="AB10" s="97"/>
      <c r="AC10" s="97">
        <v>1</v>
      </c>
      <c r="AD10" s="97">
        <v>0.35</v>
      </c>
      <c r="AE10" s="97"/>
      <c r="AF10" s="97">
        <v>3</v>
      </c>
      <c r="AG10" s="97">
        <v>1</v>
      </c>
      <c r="AH10" s="97"/>
      <c r="AI10" s="97">
        <v>3</v>
      </c>
      <c r="AJ10" s="97">
        <v>1</v>
      </c>
      <c r="AK10" s="97"/>
      <c r="AL10" s="97">
        <v>3</v>
      </c>
      <c r="AM10" s="97">
        <v>0.5</v>
      </c>
      <c r="AN10" s="127"/>
      <c r="AO10" s="97">
        <v>2</v>
      </c>
      <c r="AP10" s="99">
        <v>0.5</v>
      </c>
      <c r="AQ10" s="99"/>
      <c r="AR10" s="97">
        <v>4</v>
      </c>
      <c r="AS10" s="99">
        <v>1.75</v>
      </c>
      <c r="AT10" s="99"/>
      <c r="AU10" s="95">
        <v>2</v>
      </c>
      <c r="AV10" s="96">
        <v>1.17</v>
      </c>
      <c r="AW10" s="97">
        <v>2</v>
      </c>
      <c r="AX10" s="99">
        <v>0.15</v>
      </c>
      <c r="AY10" s="99"/>
      <c r="AZ10" s="95">
        <v>2</v>
      </c>
      <c r="BA10" s="96">
        <v>0.3</v>
      </c>
      <c r="BB10" s="96"/>
      <c r="BC10" s="97">
        <v>2</v>
      </c>
      <c r="BD10" s="99">
        <v>0.8</v>
      </c>
      <c r="BE10" s="99"/>
      <c r="BF10" s="95">
        <v>1</v>
      </c>
      <c r="BG10" s="96">
        <v>0.1</v>
      </c>
      <c r="BH10" s="96"/>
      <c r="BI10" s="95">
        <v>3</v>
      </c>
      <c r="BJ10" s="96">
        <v>0.4</v>
      </c>
      <c r="BK10" s="96"/>
      <c r="BL10" s="97">
        <v>3</v>
      </c>
      <c r="BM10" s="98">
        <v>0.79999999999999993</v>
      </c>
      <c r="BN10" s="99"/>
      <c r="BO10" s="95">
        <v>2</v>
      </c>
      <c r="BP10" s="96">
        <v>0.75</v>
      </c>
      <c r="BQ10" s="96"/>
      <c r="BR10" s="97">
        <v>4</v>
      </c>
      <c r="BS10" s="99">
        <v>1.25</v>
      </c>
      <c r="BT10" s="99"/>
      <c r="BU10" s="95">
        <v>3</v>
      </c>
      <c r="BV10" s="96">
        <v>1</v>
      </c>
      <c r="BW10" s="96"/>
    </row>
    <row r="11" spans="1:75" s="100" customFormat="1" ht="10.9" customHeight="1">
      <c r="B11" s="126" t="s">
        <v>15</v>
      </c>
      <c r="C11" s="126"/>
      <c r="D11" s="126"/>
      <c r="E11" s="97">
        <v>153</v>
      </c>
      <c r="F11" s="97">
        <v>154.44</v>
      </c>
      <c r="G11" s="97"/>
      <c r="H11" s="97">
        <v>137</v>
      </c>
      <c r="I11" s="97">
        <v>132.02000000000001</v>
      </c>
      <c r="J11" s="97"/>
      <c r="K11" s="97">
        <v>125</v>
      </c>
      <c r="L11" s="97">
        <v>113.2</v>
      </c>
      <c r="M11" s="97"/>
      <c r="N11" s="97">
        <v>108</v>
      </c>
      <c r="O11" s="97">
        <v>101.48</v>
      </c>
      <c r="P11" s="97"/>
      <c r="Q11" s="97">
        <v>102</v>
      </c>
      <c r="R11" s="97">
        <v>96.61</v>
      </c>
      <c r="S11" s="97"/>
      <c r="T11" s="97">
        <v>100</v>
      </c>
      <c r="U11" s="97">
        <v>93.55</v>
      </c>
      <c r="V11" s="97"/>
      <c r="W11" s="97">
        <v>95</v>
      </c>
      <c r="X11" s="97">
        <v>90.18</v>
      </c>
      <c r="Y11" s="97"/>
      <c r="Z11" s="97">
        <v>85</v>
      </c>
      <c r="AA11" s="97">
        <v>80.36</v>
      </c>
      <c r="AB11" s="97"/>
      <c r="AC11" s="97">
        <v>77</v>
      </c>
      <c r="AD11" s="97">
        <v>72</v>
      </c>
      <c r="AE11" s="97"/>
      <c r="AF11" s="97">
        <v>61</v>
      </c>
      <c r="AG11" s="97">
        <v>56</v>
      </c>
      <c r="AH11" s="97"/>
      <c r="AI11" s="97">
        <v>56</v>
      </c>
      <c r="AJ11" s="97">
        <v>51</v>
      </c>
      <c r="AK11" s="97"/>
      <c r="AL11" s="97">
        <v>51</v>
      </c>
      <c r="AM11" s="97">
        <v>48.54</v>
      </c>
      <c r="AN11" s="127"/>
      <c r="AO11" s="97">
        <v>49</v>
      </c>
      <c r="AP11" s="99">
        <v>47.92</v>
      </c>
      <c r="AQ11" s="99"/>
      <c r="AR11" s="97">
        <v>43</v>
      </c>
      <c r="AS11" s="99">
        <v>41.92</v>
      </c>
      <c r="AT11" s="99"/>
      <c r="AU11" s="95">
        <v>39</v>
      </c>
      <c r="AV11" s="96">
        <v>38.42</v>
      </c>
      <c r="AW11" s="97">
        <v>37</v>
      </c>
      <c r="AX11" s="99">
        <v>35.840000000000003</v>
      </c>
      <c r="AY11" s="99"/>
      <c r="AZ11" s="95">
        <v>36</v>
      </c>
      <c r="BA11" s="96">
        <v>34.72</v>
      </c>
      <c r="BB11" s="96"/>
      <c r="BC11" s="97">
        <v>32</v>
      </c>
      <c r="BD11" s="99">
        <v>30.7</v>
      </c>
      <c r="BE11" s="99"/>
      <c r="BF11" s="95">
        <v>29</v>
      </c>
      <c r="BG11" s="96">
        <v>28.2</v>
      </c>
      <c r="BH11" s="96"/>
      <c r="BI11" s="95">
        <v>28</v>
      </c>
      <c r="BJ11" s="96">
        <v>27.1</v>
      </c>
      <c r="BK11" s="96"/>
      <c r="BL11" s="97">
        <v>26</v>
      </c>
      <c r="BM11" s="98">
        <v>24.925000000000001</v>
      </c>
      <c r="BN11" s="99"/>
      <c r="BO11" s="95">
        <v>25</v>
      </c>
      <c r="BP11" s="96">
        <v>23.65</v>
      </c>
      <c r="BQ11" s="96"/>
      <c r="BR11" s="97">
        <v>25</v>
      </c>
      <c r="BS11" s="99">
        <v>23.549999999999997</v>
      </c>
      <c r="BT11" s="99"/>
      <c r="BU11" s="95">
        <v>22</v>
      </c>
      <c r="BV11" s="96">
        <v>21.45</v>
      </c>
      <c r="BW11" s="96"/>
    </row>
    <row r="12" spans="1:75" s="100" customFormat="1" ht="10.9" customHeight="1">
      <c r="B12" s="126" t="s">
        <v>21</v>
      </c>
      <c r="C12" s="126"/>
      <c r="D12" s="126"/>
      <c r="E12" s="97">
        <v>61</v>
      </c>
      <c r="F12" s="97">
        <v>58.6</v>
      </c>
      <c r="G12" s="97"/>
      <c r="H12" s="97">
        <v>74</v>
      </c>
      <c r="I12" s="97">
        <v>68.27</v>
      </c>
      <c r="J12" s="97"/>
      <c r="K12" s="97">
        <v>74</v>
      </c>
      <c r="L12" s="97">
        <v>67.540000000000006</v>
      </c>
      <c r="M12" s="97"/>
      <c r="N12" s="97">
        <v>70</v>
      </c>
      <c r="O12" s="97">
        <v>62.48</v>
      </c>
      <c r="P12" s="97"/>
      <c r="Q12" s="97">
        <v>69</v>
      </c>
      <c r="R12" s="97">
        <v>62.97</v>
      </c>
      <c r="S12" s="97"/>
      <c r="T12" s="97">
        <v>64</v>
      </c>
      <c r="U12" s="97">
        <v>59.43</v>
      </c>
      <c r="V12" s="97"/>
      <c r="W12" s="97">
        <v>61</v>
      </c>
      <c r="X12" s="97">
        <v>51.64</v>
      </c>
      <c r="Y12" s="97"/>
      <c r="Z12" s="97">
        <v>54</v>
      </c>
      <c r="AA12" s="97">
        <v>44.02</v>
      </c>
      <c r="AB12" s="97"/>
      <c r="AC12" s="97">
        <v>73</v>
      </c>
      <c r="AD12" s="97">
        <v>68</v>
      </c>
      <c r="AE12" s="97"/>
      <c r="AF12" s="97">
        <v>79</v>
      </c>
      <c r="AG12" s="97">
        <v>62</v>
      </c>
      <c r="AH12" s="97"/>
      <c r="AI12" s="97">
        <v>82</v>
      </c>
      <c r="AJ12" s="97">
        <v>68</v>
      </c>
      <c r="AK12" s="97"/>
      <c r="AL12" s="97">
        <v>75</v>
      </c>
      <c r="AM12" s="97">
        <v>64.55</v>
      </c>
      <c r="AN12" s="127"/>
      <c r="AO12" s="97">
        <v>80</v>
      </c>
      <c r="AP12" s="99">
        <v>79.25</v>
      </c>
      <c r="AQ12" s="99"/>
      <c r="AR12" s="97">
        <v>92</v>
      </c>
      <c r="AS12" s="99">
        <v>88.5</v>
      </c>
      <c r="AT12" s="99"/>
      <c r="AU12" s="95">
        <v>85</v>
      </c>
      <c r="AV12" s="96">
        <v>82.37</v>
      </c>
      <c r="AW12" s="97">
        <v>80</v>
      </c>
      <c r="AX12" s="99">
        <v>78</v>
      </c>
      <c r="AY12" s="99"/>
      <c r="AZ12" s="95">
        <v>69</v>
      </c>
      <c r="BA12" s="96">
        <v>65.849999999999994</v>
      </c>
      <c r="BB12" s="96"/>
      <c r="BC12" s="97">
        <v>63</v>
      </c>
      <c r="BD12" s="99">
        <v>61.1</v>
      </c>
      <c r="BE12" s="99"/>
      <c r="BF12" s="95">
        <v>49</v>
      </c>
      <c r="BG12" s="96">
        <v>48.5</v>
      </c>
      <c r="BH12" s="96"/>
      <c r="BI12" s="95">
        <v>41</v>
      </c>
      <c r="BJ12" s="96">
        <v>38.76</v>
      </c>
      <c r="BK12" s="96"/>
      <c r="BL12" s="97">
        <v>47</v>
      </c>
      <c r="BM12" s="98">
        <v>46.25</v>
      </c>
      <c r="BN12" s="99"/>
      <c r="BO12" s="95">
        <v>51</v>
      </c>
      <c r="BP12" s="96">
        <v>49.5</v>
      </c>
      <c r="BQ12" s="96"/>
      <c r="BR12" s="97">
        <v>51</v>
      </c>
      <c r="BS12" s="99">
        <v>50.5</v>
      </c>
      <c r="BT12" s="99"/>
      <c r="BU12" s="95">
        <v>54</v>
      </c>
      <c r="BV12" s="96">
        <v>53.5</v>
      </c>
      <c r="BW12" s="96"/>
    </row>
    <row r="13" spans="1:75" s="100" customFormat="1" ht="10.9" customHeight="1">
      <c r="B13" s="126" t="s">
        <v>20</v>
      </c>
      <c r="C13" s="126"/>
      <c r="D13" s="126"/>
      <c r="E13" s="97">
        <v>472</v>
      </c>
      <c r="F13" s="97">
        <v>234.69</v>
      </c>
      <c r="G13" s="97"/>
      <c r="H13" s="97">
        <v>488</v>
      </c>
      <c r="I13" s="97">
        <v>241.5</v>
      </c>
      <c r="J13" s="97"/>
      <c r="K13" s="97">
        <v>447</v>
      </c>
      <c r="L13" s="97">
        <v>223.05</v>
      </c>
      <c r="M13" s="97"/>
      <c r="N13" s="97">
        <v>502</v>
      </c>
      <c r="O13" s="97">
        <v>233.29</v>
      </c>
      <c r="P13" s="97"/>
      <c r="Q13" s="97">
        <v>485</v>
      </c>
      <c r="R13" s="97">
        <v>226.97</v>
      </c>
      <c r="S13" s="97"/>
      <c r="T13" s="97">
        <v>442</v>
      </c>
      <c r="U13" s="97">
        <v>208.91</v>
      </c>
      <c r="V13" s="97"/>
      <c r="W13" s="97">
        <v>453</v>
      </c>
      <c r="X13" s="97">
        <v>222.11</v>
      </c>
      <c r="Y13" s="97"/>
      <c r="Z13" s="97">
        <v>465</v>
      </c>
      <c r="AA13" s="97">
        <v>224.04</v>
      </c>
      <c r="AB13" s="97"/>
      <c r="AC13" s="97">
        <v>431</v>
      </c>
      <c r="AD13" s="97">
        <v>213</v>
      </c>
      <c r="AE13" s="97"/>
      <c r="AF13" s="97">
        <v>412</v>
      </c>
      <c r="AG13" s="97">
        <v>199</v>
      </c>
      <c r="AH13" s="97"/>
      <c r="AI13" s="97">
        <v>392</v>
      </c>
      <c r="AJ13" s="97">
        <v>183</v>
      </c>
      <c r="AK13" s="97"/>
      <c r="AL13" s="97">
        <v>394</v>
      </c>
      <c r="AM13" s="97">
        <v>189.54</v>
      </c>
      <c r="AN13" s="127"/>
      <c r="AO13" s="97">
        <v>400</v>
      </c>
      <c r="AP13" s="99">
        <v>201.68</v>
      </c>
      <c r="AQ13" s="99"/>
      <c r="AR13" s="97">
        <v>425</v>
      </c>
      <c r="AS13" s="99">
        <v>215.31</v>
      </c>
      <c r="AT13" s="99"/>
      <c r="AU13" s="95">
        <v>411</v>
      </c>
      <c r="AV13" s="96">
        <v>205.94</v>
      </c>
      <c r="AW13" s="97">
        <v>391</v>
      </c>
      <c r="AX13" s="99">
        <v>196.1</v>
      </c>
      <c r="AY13" s="99"/>
      <c r="AZ13" s="95">
        <v>392</v>
      </c>
      <c r="BA13" s="96">
        <v>194.5</v>
      </c>
      <c r="BB13" s="96"/>
      <c r="BC13" s="97">
        <v>389</v>
      </c>
      <c r="BD13" s="99">
        <v>195</v>
      </c>
      <c r="BE13" s="99"/>
      <c r="BF13" s="95">
        <v>371</v>
      </c>
      <c r="BG13" s="96">
        <v>184.125</v>
      </c>
      <c r="BH13" s="96"/>
      <c r="BI13" s="95">
        <v>368</v>
      </c>
      <c r="BJ13" s="96">
        <v>183.29</v>
      </c>
      <c r="BK13" s="96"/>
      <c r="BL13" s="97">
        <v>382</v>
      </c>
      <c r="BM13" s="98">
        <v>190.1</v>
      </c>
      <c r="BN13" s="99"/>
      <c r="BO13" s="95">
        <v>407</v>
      </c>
      <c r="BP13" s="96">
        <v>208.75019999999981</v>
      </c>
      <c r="BQ13" s="96"/>
      <c r="BR13" s="97">
        <v>399</v>
      </c>
      <c r="BS13" s="99">
        <v>199.25</v>
      </c>
      <c r="BT13" s="99"/>
      <c r="BU13" s="95">
        <v>398</v>
      </c>
      <c r="BV13" s="96">
        <v>204.00030000000012</v>
      </c>
      <c r="BW13" s="96"/>
    </row>
    <row r="14" spans="1:75" s="84" customFormat="1" ht="15" customHeight="1">
      <c r="A14" s="133" t="s">
        <v>1</v>
      </c>
      <c r="B14" s="133"/>
      <c r="C14" s="133"/>
      <c r="D14" s="133"/>
      <c r="E14" s="24">
        <f t="shared" ref="E14:AM14" si="5">SUM(E15:E21)</f>
        <v>184</v>
      </c>
      <c r="F14" s="24">
        <f t="shared" si="5"/>
        <v>129.69</v>
      </c>
      <c r="G14" s="24">
        <f t="shared" si="5"/>
        <v>0</v>
      </c>
      <c r="H14" s="24">
        <f t="shared" si="5"/>
        <v>182</v>
      </c>
      <c r="I14" s="24">
        <f t="shared" si="5"/>
        <v>125.58</v>
      </c>
      <c r="J14" s="24">
        <f t="shared" si="5"/>
        <v>0</v>
      </c>
      <c r="K14" s="24">
        <f t="shared" si="5"/>
        <v>198</v>
      </c>
      <c r="L14" s="24">
        <f t="shared" si="5"/>
        <v>130.27000000000001</v>
      </c>
      <c r="M14" s="24">
        <f t="shared" si="5"/>
        <v>0</v>
      </c>
      <c r="N14" s="24">
        <f t="shared" si="5"/>
        <v>172</v>
      </c>
      <c r="O14" s="24">
        <f t="shared" si="5"/>
        <v>130.04000000000002</v>
      </c>
      <c r="P14" s="24">
        <f t="shared" si="5"/>
        <v>0</v>
      </c>
      <c r="Q14" s="24">
        <f t="shared" si="5"/>
        <v>172</v>
      </c>
      <c r="R14" s="24">
        <f t="shared" si="5"/>
        <v>132.65</v>
      </c>
      <c r="S14" s="24">
        <f t="shared" si="5"/>
        <v>0</v>
      </c>
      <c r="T14" s="24">
        <f t="shared" si="5"/>
        <v>171</v>
      </c>
      <c r="U14" s="24">
        <f t="shared" si="5"/>
        <v>133.07</v>
      </c>
      <c r="V14" s="24">
        <f t="shared" si="5"/>
        <v>0</v>
      </c>
      <c r="W14" s="24">
        <f t="shared" si="5"/>
        <v>170</v>
      </c>
      <c r="X14" s="24">
        <f t="shared" si="5"/>
        <v>130.80000000000001</v>
      </c>
      <c r="Y14" s="24">
        <f t="shared" si="5"/>
        <v>0</v>
      </c>
      <c r="Z14" s="24">
        <f t="shared" si="5"/>
        <v>172</v>
      </c>
      <c r="AA14" s="24">
        <f t="shared" si="5"/>
        <v>133.24</v>
      </c>
      <c r="AB14" s="24">
        <f t="shared" si="5"/>
        <v>0</v>
      </c>
      <c r="AC14" s="24">
        <f t="shared" si="5"/>
        <v>181</v>
      </c>
      <c r="AD14" s="24">
        <f t="shared" si="5"/>
        <v>144.88999999999999</v>
      </c>
      <c r="AE14" s="24">
        <f t="shared" si="5"/>
        <v>0</v>
      </c>
      <c r="AF14" s="24">
        <f t="shared" si="5"/>
        <v>192</v>
      </c>
      <c r="AG14" s="24">
        <f t="shared" si="5"/>
        <v>151.32999999999998</v>
      </c>
      <c r="AH14" s="24">
        <f t="shared" si="5"/>
        <v>0</v>
      </c>
      <c r="AI14" s="24">
        <f t="shared" si="5"/>
        <v>201</v>
      </c>
      <c r="AJ14" s="24">
        <f t="shared" si="5"/>
        <v>155.32999999999998</v>
      </c>
      <c r="AK14" s="24">
        <f t="shared" si="5"/>
        <v>0</v>
      </c>
      <c r="AL14" s="24">
        <f t="shared" si="5"/>
        <v>209</v>
      </c>
      <c r="AM14" s="24">
        <f t="shared" si="5"/>
        <v>159.46</v>
      </c>
      <c r="AN14" s="127"/>
      <c r="AO14" s="24">
        <f t="shared" ref="AO14:AP14" si="6">SUM(AO15:AO21)</f>
        <v>216</v>
      </c>
      <c r="AP14" s="29">
        <f t="shared" si="6"/>
        <v>166.91000000000003</v>
      </c>
      <c r="AQ14" s="29"/>
      <c r="AR14" s="24">
        <f t="shared" ref="AR14:AS14" si="7">SUM(AR15:AR21)</f>
        <v>250</v>
      </c>
      <c r="AS14" s="29">
        <f t="shared" si="7"/>
        <v>184.78</v>
      </c>
      <c r="AT14" s="29"/>
      <c r="AU14" s="44">
        <f t="shared" ref="AU14:AV14" si="8">SUM(AU15:AU21)</f>
        <v>269</v>
      </c>
      <c r="AV14" s="45">
        <f t="shared" si="8"/>
        <v>199</v>
      </c>
      <c r="AW14" s="46">
        <f t="shared" ref="AW14:AX14" si="9">SUM(AW15:AW21)</f>
        <v>276</v>
      </c>
      <c r="AX14" s="47">
        <f t="shared" si="9"/>
        <v>207.2</v>
      </c>
      <c r="AY14" s="47"/>
      <c r="AZ14" s="44">
        <f>SUM(AZ15:AZ21)</f>
        <v>307</v>
      </c>
      <c r="BA14" s="45">
        <f>SUM(BA15:BA21)</f>
        <v>228.64</v>
      </c>
      <c r="BB14" s="45"/>
      <c r="BC14" s="46">
        <f>SUM(BC15:BC21)</f>
        <v>320</v>
      </c>
      <c r="BD14" s="64">
        <f>SUM(BD15:BD21)</f>
        <v>242.81610000000001</v>
      </c>
      <c r="BE14" s="47"/>
      <c r="BF14" s="44">
        <f>SUM(BF15:BF21)</f>
        <v>288</v>
      </c>
      <c r="BG14" s="45">
        <f>SUM(BG15:BG21)</f>
        <v>224.64249999999998</v>
      </c>
      <c r="BH14" s="45"/>
      <c r="BI14" s="44">
        <f>SUM(BI15:BI21)</f>
        <v>273</v>
      </c>
      <c r="BJ14" s="89">
        <f>SUM(BJ15:BJ21)</f>
        <v>213.79</v>
      </c>
      <c r="BK14" s="45"/>
      <c r="BL14" s="46">
        <f>SUM(BL15:BL21)</f>
        <v>312</v>
      </c>
      <c r="BM14" s="80">
        <f>SUM(BM15:BM21)</f>
        <v>233.35750000000047</v>
      </c>
      <c r="BN14" s="47"/>
      <c r="BO14" s="44">
        <f>SUM(BO15:BO21)</f>
        <v>315</v>
      </c>
      <c r="BP14" s="89">
        <f>SUM(BP15:BP21)</f>
        <v>239.77809999999999</v>
      </c>
      <c r="BQ14" s="45"/>
      <c r="BR14" s="46">
        <f>SUM(BR15:BR21)</f>
        <v>327</v>
      </c>
      <c r="BS14" s="64">
        <f>SUM(BS15:BS21)</f>
        <v>247.25</v>
      </c>
      <c r="BT14" s="47"/>
      <c r="BU14" s="44">
        <f>SUM(BU15:BU21)</f>
        <v>325</v>
      </c>
      <c r="BV14" s="89">
        <f>SUM(BV15:BV21)</f>
        <v>247.02499999999978</v>
      </c>
      <c r="BW14" s="45"/>
    </row>
    <row r="15" spans="1:75" s="32" customFormat="1" ht="10.9" customHeight="1">
      <c r="A15" s="38"/>
      <c r="B15" s="126" t="s">
        <v>17</v>
      </c>
      <c r="C15" s="126"/>
      <c r="D15" s="126"/>
      <c r="E15" s="33">
        <v>66</v>
      </c>
      <c r="F15" s="33">
        <v>63</v>
      </c>
      <c r="G15" s="33"/>
      <c r="H15" s="33">
        <v>63</v>
      </c>
      <c r="I15" s="33">
        <v>62.1</v>
      </c>
      <c r="J15" s="33"/>
      <c r="K15" s="33">
        <v>62</v>
      </c>
      <c r="L15" s="33">
        <v>61</v>
      </c>
      <c r="M15" s="33"/>
      <c r="N15" s="33">
        <v>61</v>
      </c>
      <c r="O15" s="33">
        <v>58</v>
      </c>
      <c r="P15" s="33"/>
      <c r="Q15" s="33">
        <f>46+15</f>
        <v>61</v>
      </c>
      <c r="R15" s="33">
        <f>43.71+15</f>
        <v>58.71</v>
      </c>
      <c r="S15" s="33"/>
      <c r="T15" s="33">
        <f>45+17</f>
        <v>62</v>
      </c>
      <c r="U15" s="33">
        <f>44.05+16.5</f>
        <v>60.55</v>
      </c>
      <c r="V15" s="33"/>
      <c r="W15" s="33">
        <f>44+18</f>
        <v>62</v>
      </c>
      <c r="X15" s="33">
        <f>40.87+17</f>
        <v>57.87</v>
      </c>
      <c r="Y15" s="33"/>
      <c r="Z15" s="33">
        <f>43+21</f>
        <v>64</v>
      </c>
      <c r="AA15" s="33">
        <f>41.73+21</f>
        <v>62.73</v>
      </c>
      <c r="AB15" s="33"/>
      <c r="AC15" s="33">
        <v>70</v>
      </c>
      <c r="AD15" s="33">
        <v>70</v>
      </c>
      <c r="AE15" s="33"/>
      <c r="AF15" s="33">
        <v>72</v>
      </c>
      <c r="AG15" s="33">
        <v>71</v>
      </c>
      <c r="AH15" s="33"/>
      <c r="AI15" s="33">
        <v>73</v>
      </c>
      <c r="AJ15" s="33">
        <v>72</v>
      </c>
      <c r="AK15" s="33"/>
      <c r="AL15" s="33">
        <v>75</v>
      </c>
      <c r="AM15" s="33">
        <v>74.23</v>
      </c>
      <c r="AN15" s="127"/>
      <c r="AO15" s="33">
        <v>77</v>
      </c>
      <c r="AP15" s="35">
        <v>75.25</v>
      </c>
      <c r="AQ15" s="35"/>
      <c r="AR15" s="33">
        <v>83</v>
      </c>
      <c r="AS15" s="35">
        <v>80.25</v>
      </c>
      <c r="AT15" s="35"/>
      <c r="AU15" s="36">
        <v>85</v>
      </c>
      <c r="AV15" s="37">
        <v>83.25</v>
      </c>
      <c r="AW15" s="33">
        <f>60+26</f>
        <v>86</v>
      </c>
      <c r="AX15" s="35">
        <v>84.25</v>
      </c>
      <c r="AY15" s="35"/>
      <c r="AZ15" s="36">
        <v>91</v>
      </c>
      <c r="BA15" s="37">
        <v>90.17</v>
      </c>
      <c r="BB15" s="37"/>
      <c r="BC15" s="33">
        <v>98</v>
      </c>
      <c r="BD15" s="35">
        <v>96.334000000000003</v>
      </c>
      <c r="BE15" s="35"/>
      <c r="BF15" s="36">
        <v>95</v>
      </c>
      <c r="BG15" s="37">
        <v>92.8</v>
      </c>
      <c r="BH15" s="37"/>
      <c r="BI15" s="95">
        <v>89</v>
      </c>
      <c r="BJ15" s="96">
        <v>87.85</v>
      </c>
      <c r="BK15" s="96"/>
      <c r="BL15" s="97">
        <v>86</v>
      </c>
      <c r="BM15" s="98">
        <v>85.15</v>
      </c>
      <c r="BN15" s="99"/>
      <c r="BO15" s="95">
        <v>91</v>
      </c>
      <c r="BP15" s="96">
        <v>90</v>
      </c>
      <c r="BQ15" s="96"/>
      <c r="BR15" s="97">
        <v>87</v>
      </c>
      <c r="BS15" s="99">
        <v>86</v>
      </c>
      <c r="BT15" s="99"/>
      <c r="BU15" s="95">
        <v>85</v>
      </c>
      <c r="BV15" s="96">
        <v>84</v>
      </c>
      <c r="BW15" s="37"/>
    </row>
    <row r="16" spans="1:75" s="38" customFormat="1" ht="12" customHeight="1">
      <c r="A16" s="32"/>
      <c r="B16" s="128" t="s">
        <v>38</v>
      </c>
      <c r="C16" s="128"/>
      <c r="D16" s="128"/>
      <c r="E16" s="33">
        <v>16</v>
      </c>
      <c r="F16" s="33">
        <v>10</v>
      </c>
      <c r="G16" s="33"/>
      <c r="H16" s="33">
        <v>15</v>
      </c>
      <c r="I16" s="33">
        <v>8.9</v>
      </c>
      <c r="J16" s="33"/>
      <c r="K16" s="33">
        <v>22</v>
      </c>
      <c r="L16" s="33">
        <v>13</v>
      </c>
      <c r="M16" s="33"/>
      <c r="N16" s="33">
        <v>22</v>
      </c>
      <c r="O16" s="33">
        <v>15</v>
      </c>
      <c r="P16" s="33"/>
      <c r="Q16" s="33">
        <f>84-46-15</f>
        <v>23</v>
      </c>
      <c r="R16" s="33">
        <f>73.47-43.71-15</f>
        <v>14.759999999999998</v>
      </c>
      <c r="S16" s="33"/>
      <c r="T16" s="33">
        <f>85-45-17</f>
        <v>23</v>
      </c>
      <c r="U16" s="33">
        <f>75.08-44.05-16.5</f>
        <v>14.530000000000001</v>
      </c>
      <c r="V16" s="33"/>
      <c r="W16" s="33">
        <f>82-W15</f>
        <v>20</v>
      </c>
      <c r="X16" s="33">
        <f>72.31-X15</f>
        <v>14.440000000000005</v>
      </c>
      <c r="Y16" s="33"/>
      <c r="Z16" s="33">
        <f>81-Z15</f>
        <v>17</v>
      </c>
      <c r="AA16" s="33">
        <f>75.25-AA15</f>
        <v>12.520000000000003</v>
      </c>
      <c r="AB16" s="33"/>
      <c r="AC16" s="33">
        <v>15</v>
      </c>
      <c r="AD16" s="33">
        <v>13</v>
      </c>
      <c r="AE16" s="33"/>
      <c r="AF16" s="33">
        <v>19</v>
      </c>
      <c r="AG16" s="33">
        <v>16</v>
      </c>
      <c r="AH16" s="33"/>
      <c r="AI16" s="33">
        <v>19</v>
      </c>
      <c r="AJ16" s="33">
        <v>16</v>
      </c>
      <c r="AK16" s="33"/>
      <c r="AL16" s="33">
        <v>21</v>
      </c>
      <c r="AM16" s="33">
        <v>16.41</v>
      </c>
      <c r="AN16" s="127"/>
      <c r="AO16" s="33">
        <v>24</v>
      </c>
      <c r="AP16" s="39">
        <v>18.43</v>
      </c>
      <c r="AQ16" s="39"/>
      <c r="AR16" s="33">
        <v>24</v>
      </c>
      <c r="AS16" s="39">
        <v>20.58</v>
      </c>
      <c r="AT16" s="39"/>
      <c r="AU16" s="36">
        <v>31</v>
      </c>
      <c r="AV16" s="40">
        <v>25.25</v>
      </c>
      <c r="AW16" s="33">
        <v>38</v>
      </c>
      <c r="AX16" s="39">
        <v>31</v>
      </c>
      <c r="AY16" s="39"/>
      <c r="AZ16" s="36">
        <v>47</v>
      </c>
      <c r="BA16" s="40">
        <v>39.67</v>
      </c>
      <c r="BB16" s="40"/>
      <c r="BC16" s="33">
        <v>46</v>
      </c>
      <c r="BD16" s="39">
        <v>38.375</v>
      </c>
      <c r="BE16" s="39"/>
      <c r="BF16" s="36">
        <v>45</v>
      </c>
      <c r="BG16" s="40">
        <v>35.792500000000004</v>
      </c>
      <c r="BH16" s="40"/>
      <c r="BI16" s="36">
        <v>45</v>
      </c>
      <c r="BJ16" s="40">
        <v>36.17</v>
      </c>
      <c r="BK16" s="40"/>
      <c r="BL16" s="33">
        <v>51</v>
      </c>
      <c r="BM16" s="81">
        <v>40.484100000000005</v>
      </c>
      <c r="BN16" s="39"/>
      <c r="BO16" s="36">
        <v>50</v>
      </c>
      <c r="BP16" s="40">
        <v>40.274999999999999</v>
      </c>
      <c r="BQ16" s="40"/>
      <c r="BR16" s="33">
        <v>60</v>
      </c>
      <c r="BS16" s="39">
        <v>46.424999999999997</v>
      </c>
      <c r="BT16" s="39"/>
      <c r="BU16" s="36">
        <v>65</v>
      </c>
      <c r="BV16" s="40">
        <v>48.524999999999999</v>
      </c>
      <c r="BW16" s="40"/>
    </row>
    <row r="17" spans="1:75" s="100" customFormat="1" ht="10.9" customHeight="1">
      <c r="A17" s="107"/>
      <c r="B17" s="126" t="s">
        <v>18</v>
      </c>
      <c r="C17" s="126"/>
      <c r="D17" s="126"/>
      <c r="E17" s="97">
        <v>25</v>
      </c>
      <c r="F17" s="97">
        <v>25.67</v>
      </c>
      <c r="G17" s="97"/>
      <c r="H17" s="97">
        <v>24</v>
      </c>
      <c r="I17" s="97">
        <v>24.55</v>
      </c>
      <c r="J17" s="97"/>
      <c r="K17" s="97">
        <v>25</v>
      </c>
      <c r="L17" s="97">
        <v>26.03</v>
      </c>
      <c r="M17" s="97"/>
      <c r="N17" s="97">
        <v>28</v>
      </c>
      <c r="O17" s="97">
        <v>27.56</v>
      </c>
      <c r="P17" s="97"/>
      <c r="Q17" s="97">
        <v>30</v>
      </c>
      <c r="R17" s="97">
        <v>29.16</v>
      </c>
      <c r="S17" s="97"/>
      <c r="T17" s="97">
        <v>31</v>
      </c>
      <c r="U17" s="97">
        <v>30.22</v>
      </c>
      <c r="V17" s="97"/>
      <c r="W17" s="97">
        <v>32</v>
      </c>
      <c r="X17" s="97">
        <v>31.24</v>
      </c>
      <c r="Y17" s="97"/>
      <c r="Z17" s="97">
        <v>35</v>
      </c>
      <c r="AA17" s="97">
        <v>33.92</v>
      </c>
      <c r="AB17" s="97"/>
      <c r="AC17" s="97">
        <v>34</v>
      </c>
      <c r="AD17" s="97">
        <v>33</v>
      </c>
      <c r="AE17" s="97"/>
      <c r="AF17" s="97">
        <v>37</v>
      </c>
      <c r="AG17" s="97">
        <v>35</v>
      </c>
      <c r="AH17" s="97"/>
      <c r="AI17" s="97">
        <v>39</v>
      </c>
      <c r="AJ17" s="97">
        <v>39</v>
      </c>
      <c r="AK17" s="97"/>
      <c r="AL17" s="97">
        <v>40</v>
      </c>
      <c r="AM17" s="97">
        <v>38.86</v>
      </c>
      <c r="AN17" s="127"/>
      <c r="AO17" s="97">
        <v>42</v>
      </c>
      <c r="AP17" s="99">
        <v>41.55</v>
      </c>
      <c r="AQ17" s="99"/>
      <c r="AR17" s="97">
        <v>40</v>
      </c>
      <c r="AS17" s="99">
        <v>38.9</v>
      </c>
      <c r="AT17" s="99"/>
      <c r="AU17" s="95">
        <v>46</v>
      </c>
      <c r="AV17" s="96">
        <v>45.45</v>
      </c>
      <c r="AW17" s="97">
        <v>50</v>
      </c>
      <c r="AX17" s="99">
        <v>48.95</v>
      </c>
      <c r="AY17" s="99"/>
      <c r="AZ17" s="95">
        <v>55</v>
      </c>
      <c r="BA17" s="96">
        <v>53.8</v>
      </c>
      <c r="BB17" s="96"/>
      <c r="BC17" s="97">
        <v>61</v>
      </c>
      <c r="BD17" s="99">
        <v>59.857100000000003</v>
      </c>
      <c r="BE17" s="99"/>
      <c r="BF17" s="95">
        <v>64</v>
      </c>
      <c r="BG17" s="96">
        <v>62.05</v>
      </c>
      <c r="BH17" s="96"/>
      <c r="BI17" s="95">
        <v>62</v>
      </c>
      <c r="BJ17" s="96">
        <v>59.52</v>
      </c>
      <c r="BK17" s="96"/>
      <c r="BL17" s="97">
        <v>71</v>
      </c>
      <c r="BM17" s="98">
        <v>70.7</v>
      </c>
      <c r="BN17" s="99"/>
      <c r="BO17" s="95">
        <v>75</v>
      </c>
      <c r="BP17" s="96">
        <v>75</v>
      </c>
      <c r="BQ17" s="96"/>
      <c r="BR17" s="97">
        <v>86</v>
      </c>
      <c r="BS17" s="99">
        <v>84.575000000000003</v>
      </c>
      <c r="BT17" s="99"/>
      <c r="BU17" s="95">
        <v>85</v>
      </c>
      <c r="BV17" s="96">
        <v>83.375</v>
      </c>
      <c r="BW17" s="96"/>
    </row>
    <row r="18" spans="1:75" s="107" customFormat="1" ht="10.9" customHeight="1">
      <c r="A18" s="100"/>
      <c r="B18" s="126" t="s">
        <v>19</v>
      </c>
      <c r="C18" s="126"/>
      <c r="D18" s="126"/>
      <c r="E18" s="97">
        <v>0</v>
      </c>
      <c r="F18" s="97">
        <v>0</v>
      </c>
      <c r="G18" s="97"/>
      <c r="H18" s="97">
        <v>0</v>
      </c>
      <c r="I18" s="97">
        <v>0</v>
      </c>
      <c r="J18" s="97"/>
      <c r="K18" s="97">
        <v>0</v>
      </c>
      <c r="L18" s="97">
        <v>0</v>
      </c>
      <c r="M18" s="97"/>
      <c r="N18" s="97">
        <v>0</v>
      </c>
      <c r="O18" s="97">
        <v>0</v>
      </c>
      <c r="P18" s="97"/>
      <c r="Q18" s="97">
        <v>0</v>
      </c>
      <c r="R18" s="97">
        <v>0</v>
      </c>
      <c r="S18" s="97"/>
      <c r="T18" s="97">
        <v>1</v>
      </c>
      <c r="U18" s="97">
        <v>0.33</v>
      </c>
      <c r="V18" s="97"/>
      <c r="W18" s="97">
        <v>1</v>
      </c>
      <c r="X18" s="97">
        <v>0.33</v>
      </c>
      <c r="Y18" s="97"/>
      <c r="Z18" s="97">
        <v>1</v>
      </c>
      <c r="AA18" s="97">
        <v>0.33</v>
      </c>
      <c r="AB18" s="97"/>
      <c r="AC18" s="97">
        <v>1</v>
      </c>
      <c r="AD18" s="97">
        <v>0.33</v>
      </c>
      <c r="AE18" s="97"/>
      <c r="AF18" s="97">
        <v>1</v>
      </c>
      <c r="AG18" s="97">
        <v>0.33</v>
      </c>
      <c r="AH18" s="97"/>
      <c r="AI18" s="97">
        <v>1</v>
      </c>
      <c r="AJ18" s="97">
        <v>0.33</v>
      </c>
      <c r="AK18" s="97"/>
      <c r="AL18" s="97">
        <v>1</v>
      </c>
      <c r="AM18" s="97">
        <v>0.33</v>
      </c>
      <c r="AN18" s="127"/>
      <c r="AO18" s="97">
        <v>0</v>
      </c>
      <c r="AP18" s="99">
        <v>0</v>
      </c>
      <c r="AQ18" s="99"/>
      <c r="AR18" s="97">
        <v>0</v>
      </c>
      <c r="AS18" s="99">
        <v>0</v>
      </c>
      <c r="AT18" s="99"/>
      <c r="AU18" s="95">
        <v>0</v>
      </c>
      <c r="AV18" s="96">
        <v>0</v>
      </c>
      <c r="AW18" s="97">
        <v>0</v>
      </c>
      <c r="AX18" s="99">
        <v>0</v>
      </c>
      <c r="AY18" s="99"/>
      <c r="AZ18" s="95">
        <v>0</v>
      </c>
      <c r="BA18" s="96">
        <v>0</v>
      </c>
      <c r="BB18" s="96"/>
      <c r="BC18" s="97">
        <v>0</v>
      </c>
      <c r="BD18" s="99">
        <v>0</v>
      </c>
      <c r="BE18" s="99"/>
      <c r="BF18" s="95">
        <v>0</v>
      </c>
      <c r="BG18" s="96">
        <v>0</v>
      </c>
      <c r="BH18" s="96"/>
      <c r="BI18" s="95">
        <v>0</v>
      </c>
      <c r="BJ18" s="96">
        <v>0</v>
      </c>
      <c r="BK18" s="96"/>
      <c r="BL18" s="97">
        <v>2</v>
      </c>
      <c r="BM18" s="98">
        <v>0.17220000000043001</v>
      </c>
      <c r="BN18" s="99"/>
      <c r="BO18" s="95">
        <v>2</v>
      </c>
      <c r="BP18" s="96">
        <v>0.25309999999999999</v>
      </c>
      <c r="BQ18" s="96"/>
      <c r="BR18" s="97">
        <v>3</v>
      </c>
      <c r="BS18" s="99">
        <v>0</v>
      </c>
      <c r="BT18" s="99"/>
      <c r="BU18" s="95">
        <v>3</v>
      </c>
      <c r="BV18" s="96">
        <v>0</v>
      </c>
      <c r="BW18" s="96"/>
    </row>
    <row r="19" spans="1:75" s="100" customFormat="1" ht="10.9" customHeight="1">
      <c r="B19" s="126" t="s">
        <v>15</v>
      </c>
      <c r="C19" s="126"/>
      <c r="D19" s="126"/>
      <c r="E19" s="97">
        <v>16</v>
      </c>
      <c r="F19" s="97">
        <v>16.190000000000001</v>
      </c>
      <c r="G19" s="97"/>
      <c r="H19" s="97">
        <v>14</v>
      </c>
      <c r="I19" s="97">
        <v>14.89</v>
      </c>
      <c r="J19" s="97"/>
      <c r="K19" s="97">
        <v>15</v>
      </c>
      <c r="L19" s="97">
        <v>14.8</v>
      </c>
      <c r="M19" s="97"/>
      <c r="N19" s="97">
        <v>14</v>
      </c>
      <c r="O19" s="97">
        <v>13.98</v>
      </c>
      <c r="P19" s="97"/>
      <c r="Q19" s="97">
        <v>14</v>
      </c>
      <c r="R19" s="97">
        <v>13.96</v>
      </c>
      <c r="S19" s="97"/>
      <c r="T19" s="97">
        <v>12</v>
      </c>
      <c r="U19" s="97">
        <v>12.56</v>
      </c>
      <c r="V19" s="97"/>
      <c r="W19" s="97">
        <v>12</v>
      </c>
      <c r="X19" s="97">
        <v>12.56</v>
      </c>
      <c r="Y19" s="97"/>
      <c r="Z19" s="97">
        <v>10</v>
      </c>
      <c r="AA19" s="97">
        <v>10.56</v>
      </c>
      <c r="AB19" s="97"/>
      <c r="AC19" s="97">
        <v>10</v>
      </c>
      <c r="AD19" s="97">
        <v>10.56</v>
      </c>
      <c r="AE19" s="97"/>
      <c r="AF19" s="97">
        <v>10</v>
      </c>
      <c r="AG19" s="97">
        <v>10</v>
      </c>
      <c r="AH19" s="97"/>
      <c r="AI19" s="97">
        <v>9</v>
      </c>
      <c r="AJ19" s="97">
        <v>8</v>
      </c>
      <c r="AK19" s="97"/>
      <c r="AL19" s="97">
        <v>9</v>
      </c>
      <c r="AM19" s="97">
        <v>7.67</v>
      </c>
      <c r="AN19" s="127"/>
      <c r="AO19" s="97">
        <v>8</v>
      </c>
      <c r="AP19" s="99">
        <v>7.8</v>
      </c>
      <c r="AQ19" s="99"/>
      <c r="AR19" s="97">
        <v>8</v>
      </c>
      <c r="AS19" s="99">
        <v>7.8</v>
      </c>
      <c r="AT19" s="99"/>
      <c r="AU19" s="95">
        <v>6</v>
      </c>
      <c r="AV19" s="96">
        <v>5.8</v>
      </c>
      <c r="AW19" s="97">
        <v>5</v>
      </c>
      <c r="AX19" s="99">
        <v>5</v>
      </c>
      <c r="AY19" s="99"/>
      <c r="AZ19" s="95">
        <v>3</v>
      </c>
      <c r="BA19" s="96">
        <v>3</v>
      </c>
      <c r="BB19" s="96"/>
      <c r="BC19" s="97">
        <v>2</v>
      </c>
      <c r="BD19" s="99">
        <v>2</v>
      </c>
      <c r="BE19" s="99"/>
      <c r="BF19" s="95">
        <v>2</v>
      </c>
      <c r="BG19" s="96">
        <v>2</v>
      </c>
      <c r="BH19" s="96"/>
      <c r="BI19" s="95">
        <v>1</v>
      </c>
      <c r="BJ19" s="96">
        <v>1</v>
      </c>
      <c r="BK19" s="96"/>
      <c r="BL19" s="97">
        <v>1</v>
      </c>
      <c r="BM19" s="98">
        <v>0.60119999999999996</v>
      </c>
      <c r="BN19" s="99"/>
      <c r="BO19" s="95">
        <v>0</v>
      </c>
      <c r="BP19" s="96">
        <v>0</v>
      </c>
      <c r="BQ19" s="96"/>
      <c r="BR19" s="97">
        <v>0</v>
      </c>
      <c r="BS19" s="99">
        <v>0</v>
      </c>
      <c r="BT19" s="99"/>
      <c r="BU19" s="95">
        <v>0</v>
      </c>
      <c r="BV19" s="96">
        <v>0</v>
      </c>
      <c r="BW19" s="96"/>
    </row>
    <row r="20" spans="1:75" s="100" customFormat="1" ht="10.9" customHeight="1">
      <c r="B20" s="126" t="s">
        <v>21</v>
      </c>
      <c r="C20" s="126"/>
      <c r="D20" s="126"/>
      <c r="E20" s="97">
        <v>0</v>
      </c>
      <c r="F20" s="97">
        <v>0</v>
      </c>
      <c r="G20" s="97"/>
      <c r="H20" s="97">
        <v>0</v>
      </c>
      <c r="I20" s="97">
        <v>0</v>
      </c>
      <c r="J20" s="97"/>
      <c r="K20" s="97">
        <v>0</v>
      </c>
      <c r="L20" s="97">
        <v>0</v>
      </c>
      <c r="M20" s="97"/>
      <c r="N20" s="97">
        <v>0</v>
      </c>
      <c r="O20" s="97">
        <v>0</v>
      </c>
      <c r="P20" s="97"/>
      <c r="Q20" s="97">
        <v>0</v>
      </c>
      <c r="R20" s="97">
        <v>0</v>
      </c>
      <c r="S20" s="97"/>
      <c r="T20" s="97">
        <v>0</v>
      </c>
      <c r="U20" s="97">
        <v>0</v>
      </c>
      <c r="V20" s="97"/>
      <c r="W20" s="97">
        <v>0</v>
      </c>
      <c r="X20" s="97">
        <v>0</v>
      </c>
      <c r="Y20" s="97"/>
      <c r="Z20" s="97">
        <v>0</v>
      </c>
      <c r="AA20" s="97">
        <v>0</v>
      </c>
      <c r="AB20" s="97"/>
      <c r="AC20" s="97">
        <v>0</v>
      </c>
      <c r="AD20" s="97">
        <v>0</v>
      </c>
      <c r="AE20" s="97"/>
      <c r="AF20" s="97">
        <v>0</v>
      </c>
      <c r="AG20" s="97">
        <v>0</v>
      </c>
      <c r="AH20" s="97"/>
      <c r="AI20" s="97">
        <v>0</v>
      </c>
      <c r="AJ20" s="97">
        <v>0</v>
      </c>
      <c r="AK20" s="97"/>
      <c r="AL20" s="97">
        <v>0</v>
      </c>
      <c r="AM20" s="97">
        <v>0</v>
      </c>
      <c r="AN20" s="127"/>
      <c r="AO20" s="97">
        <v>0</v>
      </c>
      <c r="AP20" s="99">
        <v>0</v>
      </c>
      <c r="AQ20" s="99"/>
      <c r="AR20" s="97">
        <v>0</v>
      </c>
      <c r="AS20" s="99">
        <v>0</v>
      </c>
      <c r="AT20" s="99"/>
      <c r="AU20" s="95">
        <v>0</v>
      </c>
      <c r="AV20" s="96">
        <v>0</v>
      </c>
      <c r="AW20" s="97">
        <v>0</v>
      </c>
      <c r="AX20" s="99">
        <v>0</v>
      </c>
      <c r="AY20" s="99"/>
      <c r="AZ20" s="95">
        <v>0</v>
      </c>
      <c r="BA20" s="96">
        <v>0</v>
      </c>
      <c r="BB20" s="96"/>
      <c r="BC20" s="97">
        <v>0</v>
      </c>
      <c r="BD20" s="99">
        <v>0</v>
      </c>
      <c r="BE20" s="99"/>
      <c r="BF20" s="95">
        <v>0</v>
      </c>
      <c r="BG20" s="96">
        <v>0</v>
      </c>
      <c r="BH20" s="96"/>
      <c r="BI20" s="95">
        <v>0</v>
      </c>
      <c r="BJ20" s="96">
        <v>0</v>
      </c>
      <c r="BK20" s="96"/>
      <c r="BL20" s="97">
        <v>0</v>
      </c>
      <c r="BM20" s="98">
        <v>0</v>
      </c>
      <c r="BN20" s="99"/>
      <c r="BO20" s="95">
        <v>0</v>
      </c>
      <c r="BP20" s="96">
        <v>0</v>
      </c>
      <c r="BQ20" s="96"/>
      <c r="BR20" s="97">
        <v>0</v>
      </c>
      <c r="BS20" s="99">
        <v>0</v>
      </c>
      <c r="BT20" s="99"/>
      <c r="BU20" s="95">
        <v>0</v>
      </c>
      <c r="BV20" s="96">
        <v>0</v>
      </c>
      <c r="BW20" s="96"/>
    </row>
    <row r="21" spans="1:75" s="100" customFormat="1" ht="10.9" customHeight="1">
      <c r="B21" s="126" t="s">
        <v>20</v>
      </c>
      <c r="C21" s="126"/>
      <c r="D21" s="126"/>
      <c r="E21" s="97">
        <v>61</v>
      </c>
      <c r="F21" s="97">
        <v>14.83</v>
      </c>
      <c r="G21" s="97"/>
      <c r="H21" s="97">
        <v>66</v>
      </c>
      <c r="I21" s="97">
        <v>15.14</v>
      </c>
      <c r="J21" s="97"/>
      <c r="K21" s="97">
        <v>74</v>
      </c>
      <c r="L21" s="97">
        <v>15.44</v>
      </c>
      <c r="M21" s="97"/>
      <c r="N21" s="97">
        <v>47</v>
      </c>
      <c r="O21" s="97">
        <v>15.5</v>
      </c>
      <c r="P21" s="97"/>
      <c r="Q21" s="97">
        <v>44</v>
      </c>
      <c r="R21" s="97">
        <v>16.059999999999999</v>
      </c>
      <c r="S21" s="97"/>
      <c r="T21" s="97">
        <v>42</v>
      </c>
      <c r="U21" s="97">
        <v>14.88</v>
      </c>
      <c r="V21" s="97"/>
      <c r="W21" s="97">
        <v>43</v>
      </c>
      <c r="X21" s="97">
        <v>14.36</v>
      </c>
      <c r="Y21" s="97"/>
      <c r="Z21" s="97">
        <v>45</v>
      </c>
      <c r="AA21" s="97">
        <v>13.18</v>
      </c>
      <c r="AB21" s="97"/>
      <c r="AC21" s="97">
        <v>51</v>
      </c>
      <c r="AD21" s="97">
        <v>18</v>
      </c>
      <c r="AE21" s="97"/>
      <c r="AF21" s="97">
        <v>53</v>
      </c>
      <c r="AG21" s="97">
        <v>19</v>
      </c>
      <c r="AH21" s="97"/>
      <c r="AI21" s="97">
        <v>60</v>
      </c>
      <c r="AJ21" s="97">
        <v>20</v>
      </c>
      <c r="AK21" s="97"/>
      <c r="AL21" s="97">
        <v>63</v>
      </c>
      <c r="AM21" s="97">
        <v>21.96</v>
      </c>
      <c r="AN21" s="127"/>
      <c r="AO21" s="97">
        <v>65</v>
      </c>
      <c r="AP21" s="99">
        <v>23.88</v>
      </c>
      <c r="AQ21" s="99"/>
      <c r="AR21" s="97">
        <v>95</v>
      </c>
      <c r="AS21" s="99">
        <v>37.25</v>
      </c>
      <c r="AT21" s="99"/>
      <c r="AU21" s="95">
        <v>101</v>
      </c>
      <c r="AV21" s="96">
        <v>39.25</v>
      </c>
      <c r="AW21" s="97">
        <v>97</v>
      </c>
      <c r="AX21" s="99">
        <v>38</v>
      </c>
      <c r="AY21" s="99"/>
      <c r="AZ21" s="95">
        <v>111</v>
      </c>
      <c r="BA21" s="96">
        <v>42</v>
      </c>
      <c r="BB21" s="96"/>
      <c r="BC21" s="97">
        <v>113</v>
      </c>
      <c r="BD21" s="99">
        <v>46.25</v>
      </c>
      <c r="BE21" s="99"/>
      <c r="BF21" s="95">
        <v>82</v>
      </c>
      <c r="BG21" s="96">
        <v>32</v>
      </c>
      <c r="BH21" s="96"/>
      <c r="BI21" s="95">
        <v>76</v>
      </c>
      <c r="BJ21" s="96">
        <v>29.25</v>
      </c>
      <c r="BK21" s="96"/>
      <c r="BL21" s="97">
        <v>101</v>
      </c>
      <c r="BM21" s="98">
        <v>36.25</v>
      </c>
      <c r="BN21" s="99"/>
      <c r="BO21" s="95">
        <v>97</v>
      </c>
      <c r="BP21" s="96">
        <v>34.25</v>
      </c>
      <c r="BQ21" s="96"/>
      <c r="BR21" s="97">
        <v>91</v>
      </c>
      <c r="BS21" s="99">
        <v>30.25</v>
      </c>
      <c r="BT21" s="99"/>
      <c r="BU21" s="95">
        <v>87</v>
      </c>
      <c r="BV21" s="96">
        <v>31.124999999999773</v>
      </c>
      <c r="BW21" s="96"/>
    </row>
    <row r="22" spans="1:75" s="5" customFormat="1" ht="15" customHeight="1">
      <c r="A22" s="133" t="s">
        <v>2</v>
      </c>
      <c r="B22" s="133"/>
      <c r="C22" s="133"/>
      <c r="D22" s="133"/>
      <c r="E22" s="24">
        <f t="shared" ref="E22:AM22" si="10">SUM(E23:E29)</f>
        <v>241</v>
      </c>
      <c r="F22" s="24">
        <f t="shared" si="10"/>
        <v>155.18</v>
      </c>
      <c r="G22" s="24">
        <f t="shared" si="10"/>
        <v>0</v>
      </c>
      <c r="H22" s="24">
        <f t="shared" si="10"/>
        <v>250</v>
      </c>
      <c r="I22" s="24">
        <f t="shared" si="10"/>
        <v>152.28000000000003</v>
      </c>
      <c r="J22" s="24">
        <f t="shared" si="10"/>
        <v>0</v>
      </c>
      <c r="K22" s="24">
        <f t="shared" si="10"/>
        <v>256</v>
      </c>
      <c r="L22" s="24">
        <f t="shared" si="10"/>
        <v>158.03</v>
      </c>
      <c r="M22" s="24">
        <f t="shared" si="10"/>
        <v>0</v>
      </c>
      <c r="N22" s="24">
        <f t="shared" si="10"/>
        <v>222</v>
      </c>
      <c r="O22" s="24">
        <f t="shared" si="10"/>
        <v>152.15</v>
      </c>
      <c r="P22" s="24">
        <f t="shared" si="10"/>
        <v>0</v>
      </c>
      <c r="Q22" s="24">
        <f t="shared" si="10"/>
        <v>229</v>
      </c>
      <c r="R22" s="24">
        <f t="shared" si="10"/>
        <v>157.17000000000004</v>
      </c>
      <c r="S22" s="24">
        <f t="shared" si="10"/>
        <v>0</v>
      </c>
      <c r="T22" s="24">
        <f t="shared" si="10"/>
        <v>222</v>
      </c>
      <c r="U22" s="24">
        <f t="shared" si="10"/>
        <v>156.35</v>
      </c>
      <c r="V22" s="24">
        <f t="shared" si="10"/>
        <v>0</v>
      </c>
      <c r="W22" s="24">
        <f t="shared" si="10"/>
        <v>213</v>
      </c>
      <c r="X22" s="24">
        <f t="shared" si="10"/>
        <v>154.77000000000001</v>
      </c>
      <c r="Y22" s="24">
        <f t="shared" si="10"/>
        <v>0</v>
      </c>
      <c r="Z22" s="24">
        <f t="shared" si="10"/>
        <v>212</v>
      </c>
      <c r="AA22" s="24">
        <f t="shared" si="10"/>
        <v>153.85999999999999</v>
      </c>
      <c r="AB22" s="24">
        <f t="shared" si="10"/>
        <v>0</v>
      </c>
      <c r="AC22" s="24">
        <f t="shared" si="10"/>
        <v>211</v>
      </c>
      <c r="AD22" s="24">
        <f t="shared" si="10"/>
        <v>157</v>
      </c>
      <c r="AE22" s="24">
        <f t="shared" si="10"/>
        <v>0</v>
      </c>
      <c r="AF22" s="24">
        <f t="shared" si="10"/>
        <v>222</v>
      </c>
      <c r="AG22" s="24">
        <f t="shared" si="10"/>
        <v>156</v>
      </c>
      <c r="AH22" s="24">
        <f t="shared" si="10"/>
        <v>0</v>
      </c>
      <c r="AI22" s="24">
        <f t="shared" si="10"/>
        <v>236</v>
      </c>
      <c r="AJ22" s="24">
        <f t="shared" si="10"/>
        <v>155</v>
      </c>
      <c r="AK22" s="24">
        <f t="shared" si="10"/>
        <v>0</v>
      </c>
      <c r="AL22" s="24">
        <f t="shared" si="10"/>
        <v>262</v>
      </c>
      <c r="AM22" s="24">
        <f t="shared" si="10"/>
        <v>168.92</v>
      </c>
      <c r="AN22" s="127"/>
      <c r="AO22" s="24">
        <f t="shared" ref="AO22:AP22" si="11">SUM(AO23:AO29)</f>
        <v>280</v>
      </c>
      <c r="AP22" s="29">
        <f t="shared" si="11"/>
        <v>189.34</v>
      </c>
      <c r="AQ22" s="29"/>
      <c r="AR22" s="24">
        <f t="shared" ref="AR22:AS22" si="12">SUM(AR23:AR29)</f>
        <v>311</v>
      </c>
      <c r="AS22" s="29">
        <f t="shared" si="12"/>
        <v>201.94</v>
      </c>
      <c r="AT22" s="29"/>
      <c r="AU22" s="44">
        <f t="shared" ref="AU22:AV22" si="13">SUM(AU23:AU29)</f>
        <v>315</v>
      </c>
      <c r="AV22" s="45">
        <f t="shared" si="13"/>
        <v>206.59</v>
      </c>
      <c r="AW22" s="46">
        <f t="shared" ref="AW22:AX22" si="14">SUM(AW23:AW29)</f>
        <v>298</v>
      </c>
      <c r="AX22" s="47">
        <f t="shared" si="14"/>
        <v>199.37</v>
      </c>
      <c r="AY22" s="47"/>
      <c r="AZ22" s="44">
        <f>SUM(AZ23:AZ29)</f>
        <v>298</v>
      </c>
      <c r="BA22" s="45">
        <f>SUM(BA23:BA29)</f>
        <v>198.54999999999998</v>
      </c>
      <c r="BB22" s="45"/>
      <c r="BC22" s="46">
        <f>SUM(BC23:BC29)</f>
        <v>300</v>
      </c>
      <c r="BD22" s="64">
        <f>SUM(BD23:BD29)</f>
        <v>200.88030000000001</v>
      </c>
      <c r="BE22" s="47"/>
      <c r="BF22" s="44">
        <f>SUM(BF23:BF29)</f>
        <v>287</v>
      </c>
      <c r="BG22" s="45">
        <f>SUM(BG23:BG29)</f>
        <v>194.755</v>
      </c>
      <c r="BH22" s="45"/>
      <c r="BI22" s="44">
        <f>SUM(BI23:BI29)</f>
        <v>248</v>
      </c>
      <c r="BJ22" s="89">
        <f>SUM(BJ23:BJ29)</f>
        <v>182.85</v>
      </c>
      <c r="BK22" s="45"/>
      <c r="BL22" s="46">
        <f>SUM(BL23:BL29)</f>
        <v>262</v>
      </c>
      <c r="BM22" s="80">
        <f>SUM(BM23:BM29)</f>
        <v>179.52500000000001</v>
      </c>
      <c r="BN22" s="47"/>
      <c r="BO22" s="44">
        <f>SUM(BO23:BO29)</f>
        <v>283</v>
      </c>
      <c r="BP22" s="89">
        <f>SUM(BP23:BP29)</f>
        <v>189.625</v>
      </c>
      <c r="BQ22" s="45"/>
      <c r="BR22" s="46">
        <f>SUM(BR23:BR29)</f>
        <v>319</v>
      </c>
      <c r="BS22" s="64">
        <f>SUM(BS23:BS29)</f>
        <v>210.4581</v>
      </c>
      <c r="BT22" s="47"/>
      <c r="BU22" s="44">
        <f>SUM(BU23:BU29)</f>
        <v>313</v>
      </c>
      <c r="BV22" s="89">
        <f>SUM(BV23:BV29)</f>
        <v>211.03499999999997</v>
      </c>
      <c r="BW22" s="45"/>
    </row>
    <row r="23" spans="1:75" s="11" customFormat="1" ht="10.9" customHeight="1">
      <c r="A23" s="32"/>
      <c r="B23" s="126" t="s">
        <v>17</v>
      </c>
      <c r="C23" s="126"/>
      <c r="D23" s="126"/>
      <c r="E23" s="17">
        <v>81</v>
      </c>
      <c r="F23" s="17">
        <v>74</v>
      </c>
      <c r="G23" s="17"/>
      <c r="H23" s="17">
        <v>80</v>
      </c>
      <c r="I23" s="17">
        <v>73.900000000000006</v>
      </c>
      <c r="J23" s="17"/>
      <c r="K23" s="17">
        <v>82</v>
      </c>
      <c r="L23" s="17">
        <v>77</v>
      </c>
      <c r="M23" s="17"/>
      <c r="N23" s="17">
        <v>80</v>
      </c>
      <c r="O23" s="17">
        <v>77</v>
      </c>
      <c r="P23" s="17"/>
      <c r="Q23" s="17">
        <f>49+37</f>
        <v>86</v>
      </c>
      <c r="R23" s="17">
        <f>44.93+35.31</f>
        <v>80.240000000000009</v>
      </c>
      <c r="S23" s="17"/>
      <c r="T23" s="17">
        <f>55+29</f>
        <v>84</v>
      </c>
      <c r="U23" s="17">
        <f>52.05+27.81</f>
        <v>79.86</v>
      </c>
      <c r="V23" s="17"/>
      <c r="W23" s="17">
        <f>61+25</f>
        <v>86</v>
      </c>
      <c r="X23" s="17">
        <f>56.42+23.31</f>
        <v>79.73</v>
      </c>
      <c r="Y23" s="17"/>
      <c r="Z23" s="17">
        <f>60+22</f>
        <v>82</v>
      </c>
      <c r="AA23" s="17">
        <f>56.56+20</f>
        <v>76.56</v>
      </c>
      <c r="AB23" s="17"/>
      <c r="AC23" s="17">
        <v>83</v>
      </c>
      <c r="AD23" s="17">
        <v>79</v>
      </c>
      <c r="AE23" s="17"/>
      <c r="AF23" s="17">
        <v>82</v>
      </c>
      <c r="AG23" s="17">
        <v>78</v>
      </c>
      <c r="AH23" s="17"/>
      <c r="AI23" s="17">
        <v>80</v>
      </c>
      <c r="AJ23" s="17">
        <v>75</v>
      </c>
      <c r="AK23" s="17"/>
      <c r="AL23" s="17">
        <v>84</v>
      </c>
      <c r="AM23" s="17">
        <v>76.86</v>
      </c>
      <c r="AN23" s="127"/>
      <c r="AO23" s="17">
        <v>84</v>
      </c>
      <c r="AP23" s="14">
        <v>81.17</v>
      </c>
      <c r="AQ23" s="14"/>
      <c r="AR23" s="17">
        <v>90</v>
      </c>
      <c r="AS23" s="14">
        <v>88.19</v>
      </c>
      <c r="AT23" s="14"/>
      <c r="AU23" s="36">
        <v>97</v>
      </c>
      <c r="AV23" s="37">
        <v>95.27</v>
      </c>
      <c r="AW23" s="33">
        <f>62+34</f>
        <v>96</v>
      </c>
      <c r="AX23" s="35">
        <v>94.27</v>
      </c>
      <c r="AY23" s="35"/>
      <c r="AZ23" s="36">
        <v>91</v>
      </c>
      <c r="BA23" s="37">
        <v>88.5</v>
      </c>
      <c r="BB23" s="37"/>
      <c r="BC23" s="33">
        <v>96</v>
      </c>
      <c r="BD23" s="35">
        <v>93.6</v>
      </c>
      <c r="BE23" s="35"/>
      <c r="BF23" s="36">
        <v>92</v>
      </c>
      <c r="BG23" s="37">
        <v>90</v>
      </c>
      <c r="BH23" s="37"/>
      <c r="BI23" s="95">
        <v>92</v>
      </c>
      <c r="BJ23" s="96">
        <v>91.15</v>
      </c>
      <c r="BK23" s="96"/>
      <c r="BL23" s="97">
        <v>85</v>
      </c>
      <c r="BM23" s="98">
        <v>83.5</v>
      </c>
      <c r="BN23" s="99"/>
      <c r="BO23" s="95">
        <v>79</v>
      </c>
      <c r="BP23" s="96">
        <v>76.599999999999994</v>
      </c>
      <c r="BQ23" s="96"/>
      <c r="BR23" s="97">
        <v>81</v>
      </c>
      <c r="BS23" s="99">
        <v>80</v>
      </c>
      <c r="BT23" s="99"/>
      <c r="BU23" s="95">
        <v>78</v>
      </c>
      <c r="BV23" s="96">
        <v>77.5</v>
      </c>
      <c r="BW23" s="37"/>
    </row>
    <row r="24" spans="1:75" s="9" customFormat="1" ht="12" customHeight="1">
      <c r="A24" s="32"/>
      <c r="B24" s="128" t="s">
        <v>38</v>
      </c>
      <c r="C24" s="128"/>
      <c r="D24" s="128"/>
      <c r="E24" s="17">
        <v>46</v>
      </c>
      <c r="F24" s="17">
        <v>30</v>
      </c>
      <c r="G24" s="17"/>
      <c r="H24" s="17">
        <v>41</v>
      </c>
      <c r="I24" s="17">
        <v>27.1</v>
      </c>
      <c r="J24" s="17"/>
      <c r="K24" s="17">
        <v>35</v>
      </c>
      <c r="L24" s="17">
        <v>26</v>
      </c>
      <c r="M24" s="17"/>
      <c r="N24" s="17">
        <v>35</v>
      </c>
      <c r="O24" s="17">
        <v>23</v>
      </c>
      <c r="P24" s="17"/>
      <c r="Q24" s="17">
        <f>120-49-37</f>
        <v>34</v>
      </c>
      <c r="R24" s="17">
        <f>103.29-44.93-35.31</f>
        <v>23.050000000000004</v>
      </c>
      <c r="S24" s="17"/>
      <c r="T24" s="17">
        <f>119-55-29</f>
        <v>35</v>
      </c>
      <c r="U24" s="17">
        <f>104.25-52.05-27.81</f>
        <v>24.390000000000004</v>
      </c>
      <c r="V24" s="17"/>
      <c r="W24" s="17">
        <f>114-W23</f>
        <v>28</v>
      </c>
      <c r="X24" s="17">
        <f>99.75-X23</f>
        <v>20.019999999999996</v>
      </c>
      <c r="Y24" s="17"/>
      <c r="Z24" s="17">
        <f>112-Z23</f>
        <v>30</v>
      </c>
      <c r="AA24" s="17">
        <f>100.2-AA23</f>
        <v>23.64</v>
      </c>
      <c r="AB24" s="17"/>
      <c r="AC24" s="17">
        <v>31</v>
      </c>
      <c r="AD24" s="17">
        <v>23</v>
      </c>
      <c r="AE24" s="17"/>
      <c r="AF24" s="17">
        <v>35</v>
      </c>
      <c r="AG24" s="17">
        <v>24</v>
      </c>
      <c r="AH24" s="17"/>
      <c r="AI24" s="17">
        <v>40</v>
      </c>
      <c r="AJ24" s="17">
        <v>30</v>
      </c>
      <c r="AK24" s="17"/>
      <c r="AL24" s="17">
        <v>47</v>
      </c>
      <c r="AM24" s="17">
        <v>36.770000000000003</v>
      </c>
      <c r="AN24" s="127"/>
      <c r="AO24" s="17">
        <v>46</v>
      </c>
      <c r="AP24" s="14">
        <v>38.130000000000003</v>
      </c>
      <c r="AQ24" s="14"/>
      <c r="AR24" s="17">
        <v>39</v>
      </c>
      <c r="AS24" s="14">
        <v>32.07</v>
      </c>
      <c r="AT24" s="14"/>
      <c r="AU24" s="36">
        <v>39</v>
      </c>
      <c r="AV24" s="37">
        <v>29.85</v>
      </c>
      <c r="AW24" s="33">
        <v>43</v>
      </c>
      <c r="AX24" s="35">
        <v>32.630000000000003</v>
      </c>
      <c r="AY24" s="35"/>
      <c r="AZ24" s="36">
        <v>48</v>
      </c>
      <c r="BA24" s="37">
        <v>35.869999999999997</v>
      </c>
      <c r="BB24" s="37"/>
      <c r="BC24" s="33">
        <v>45</v>
      </c>
      <c r="BD24" s="35">
        <v>34.866700000000002</v>
      </c>
      <c r="BE24" s="35"/>
      <c r="BF24" s="36">
        <v>54</v>
      </c>
      <c r="BG24" s="37">
        <v>40.279999999999994</v>
      </c>
      <c r="BH24" s="37"/>
      <c r="BI24" s="36">
        <v>41</v>
      </c>
      <c r="BJ24" s="37">
        <v>34.22</v>
      </c>
      <c r="BK24" s="37"/>
      <c r="BL24" s="33">
        <v>47</v>
      </c>
      <c r="BM24" s="79">
        <v>34.800000000000004</v>
      </c>
      <c r="BN24" s="35"/>
      <c r="BO24" s="36">
        <v>56</v>
      </c>
      <c r="BP24" s="37">
        <v>43.699999999999996</v>
      </c>
      <c r="BQ24" s="37"/>
      <c r="BR24" s="33">
        <v>65</v>
      </c>
      <c r="BS24" s="35">
        <v>52</v>
      </c>
      <c r="BT24" s="35"/>
      <c r="BU24" s="36">
        <v>76</v>
      </c>
      <c r="BV24" s="37">
        <v>57.209999999999994</v>
      </c>
      <c r="BW24" s="37"/>
    </row>
    <row r="25" spans="1:75" s="3" customFormat="1" ht="10.9" customHeight="1">
      <c r="A25" s="100"/>
      <c r="B25" s="126" t="s">
        <v>18</v>
      </c>
      <c r="C25" s="126"/>
      <c r="D25" s="126"/>
      <c r="E25" s="15">
        <v>21</v>
      </c>
      <c r="F25" s="15">
        <v>19.53</v>
      </c>
      <c r="G25" s="15"/>
      <c r="H25" s="15">
        <v>23</v>
      </c>
      <c r="I25" s="15">
        <v>21.36</v>
      </c>
      <c r="J25" s="15"/>
      <c r="K25" s="15">
        <v>26</v>
      </c>
      <c r="L25" s="15">
        <v>23.41</v>
      </c>
      <c r="M25" s="15"/>
      <c r="N25" s="15">
        <v>26</v>
      </c>
      <c r="O25" s="15">
        <v>23.75</v>
      </c>
      <c r="P25" s="15"/>
      <c r="Q25" s="15">
        <v>25</v>
      </c>
      <c r="R25" s="15">
        <v>23.12</v>
      </c>
      <c r="S25" s="15"/>
      <c r="T25" s="15">
        <v>26</v>
      </c>
      <c r="U25" s="15">
        <v>25.1</v>
      </c>
      <c r="V25" s="15"/>
      <c r="W25" s="15">
        <v>29</v>
      </c>
      <c r="X25" s="15">
        <v>28.68</v>
      </c>
      <c r="Y25" s="15"/>
      <c r="Z25" s="15">
        <v>30</v>
      </c>
      <c r="AA25" s="15">
        <v>29.84</v>
      </c>
      <c r="AB25" s="15"/>
      <c r="AC25" s="15">
        <v>33</v>
      </c>
      <c r="AD25" s="15">
        <v>32</v>
      </c>
      <c r="AE25" s="15"/>
      <c r="AF25" s="15">
        <v>29</v>
      </c>
      <c r="AG25" s="15">
        <v>30</v>
      </c>
      <c r="AH25" s="15"/>
      <c r="AI25" s="15">
        <v>23</v>
      </c>
      <c r="AJ25" s="15">
        <v>23</v>
      </c>
      <c r="AK25" s="15"/>
      <c r="AL25" s="15">
        <v>25</v>
      </c>
      <c r="AM25" s="15">
        <v>26.25</v>
      </c>
      <c r="AN25" s="127"/>
      <c r="AO25" s="15">
        <v>32</v>
      </c>
      <c r="AP25" s="16">
        <v>28.84</v>
      </c>
      <c r="AQ25" s="16"/>
      <c r="AR25" s="15">
        <v>33</v>
      </c>
      <c r="AS25" s="16">
        <v>30.18</v>
      </c>
      <c r="AT25" s="16"/>
      <c r="AU25" s="95">
        <v>36</v>
      </c>
      <c r="AV25" s="96">
        <v>33.72</v>
      </c>
      <c r="AW25" s="97">
        <v>35</v>
      </c>
      <c r="AX25" s="99">
        <v>32.72</v>
      </c>
      <c r="AY25" s="99"/>
      <c r="AZ25" s="95">
        <v>36</v>
      </c>
      <c r="BA25" s="96">
        <v>32.83</v>
      </c>
      <c r="BB25" s="96"/>
      <c r="BC25" s="97">
        <v>38</v>
      </c>
      <c r="BD25" s="99">
        <v>35.424999999999997</v>
      </c>
      <c r="BE25" s="99"/>
      <c r="BF25" s="95">
        <v>37</v>
      </c>
      <c r="BG25" s="96">
        <v>35.725000000000001</v>
      </c>
      <c r="BH25" s="96"/>
      <c r="BI25" s="95">
        <v>38</v>
      </c>
      <c r="BJ25" s="96">
        <v>36.729999999999997</v>
      </c>
      <c r="BK25" s="96"/>
      <c r="BL25" s="97">
        <v>37</v>
      </c>
      <c r="BM25" s="98">
        <v>35.725000000000001</v>
      </c>
      <c r="BN25" s="99"/>
      <c r="BO25" s="95">
        <v>41</v>
      </c>
      <c r="BP25" s="96">
        <v>38.825000000000003</v>
      </c>
      <c r="BQ25" s="96"/>
      <c r="BR25" s="97">
        <v>48</v>
      </c>
      <c r="BS25" s="99">
        <v>46.15</v>
      </c>
      <c r="BT25" s="99"/>
      <c r="BU25" s="95">
        <v>49</v>
      </c>
      <c r="BV25" s="96">
        <v>46.825000000000003</v>
      </c>
      <c r="BW25" s="96"/>
    </row>
    <row r="26" spans="1:75" s="3" customFormat="1" ht="10.9" customHeight="1">
      <c r="A26" s="100"/>
      <c r="B26" s="126" t="s">
        <v>19</v>
      </c>
      <c r="C26" s="126"/>
      <c r="D26" s="126"/>
      <c r="E26" s="15">
        <v>0</v>
      </c>
      <c r="F26" s="15">
        <v>0</v>
      </c>
      <c r="G26" s="15"/>
      <c r="H26" s="15">
        <v>0</v>
      </c>
      <c r="I26" s="15">
        <v>0</v>
      </c>
      <c r="J26" s="15"/>
      <c r="K26" s="15">
        <v>0</v>
      </c>
      <c r="L26" s="15">
        <v>0</v>
      </c>
      <c r="M26" s="15"/>
      <c r="N26" s="15">
        <v>3</v>
      </c>
      <c r="O26" s="15">
        <v>1</v>
      </c>
      <c r="P26" s="15"/>
      <c r="Q26" s="15">
        <v>1</v>
      </c>
      <c r="R26" s="15">
        <v>0.18</v>
      </c>
      <c r="S26" s="15"/>
      <c r="T26" s="15">
        <v>0</v>
      </c>
      <c r="U26" s="15">
        <v>0</v>
      </c>
      <c r="V26" s="15"/>
      <c r="W26" s="15">
        <v>0</v>
      </c>
      <c r="X26" s="15">
        <v>0</v>
      </c>
      <c r="Y26" s="15"/>
      <c r="Z26" s="15">
        <v>0</v>
      </c>
      <c r="AA26" s="15">
        <v>0</v>
      </c>
      <c r="AB26" s="15"/>
      <c r="AC26" s="15">
        <v>1</v>
      </c>
      <c r="AD26" s="15">
        <v>1</v>
      </c>
      <c r="AE26" s="15"/>
      <c r="AF26" s="15">
        <v>1</v>
      </c>
      <c r="AG26" s="15">
        <v>0</v>
      </c>
      <c r="AH26" s="15"/>
      <c r="AI26" s="15">
        <v>0</v>
      </c>
      <c r="AJ26" s="15">
        <v>0</v>
      </c>
      <c r="AK26" s="15"/>
      <c r="AL26" s="15">
        <v>0</v>
      </c>
      <c r="AM26" s="15">
        <v>0</v>
      </c>
      <c r="AN26" s="127"/>
      <c r="AO26" s="15">
        <v>0</v>
      </c>
      <c r="AP26" s="16">
        <v>0</v>
      </c>
      <c r="AQ26" s="16"/>
      <c r="AR26" s="15">
        <v>0</v>
      </c>
      <c r="AS26" s="16">
        <v>0</v>
      </c>
      <c r="AT26" s="16"/>
      <c r="AU26" s="95">
        <v>0</v>
      </c>
      <c r="AV26" s="96">
        <v>0</v>
      </c>
      <c r="AW26" s="97">
        <v>0</v>
      </c>
      <c r="AX26" s="99">
        <v>0</v>
      </c>
      <c r="AY26" s="99"/>
      <c r="AZ26" s="95">
        <v>0</v>
      </c>
      <c r="BA26" s="96">
        <v>0</v>
      </c>
      <c r="BB26" s="96"/>
      <c r="BC26" s="97">
        <v>0</v>
      </c>
      <c r="BD26" s="99">
        <v>0</v>
      </c>
      <c r="BE26" s="99"/>
      <c r="BF26" s="95">
        <v>0</v>
      </c>
      <c r="BG26" s="96">
        <v>0</v>
      </c>
      <c r="BH26" s="96"/>
      <c r="BI26" s="95">
        <v>0</v>
      </c>
      <c r="BJ26" s="96">
        <v>0</v>
      </c>
      <c r="BK26" s="96"/>
      <c r="BL26" s="97">
        <v>1</v>
      </c>
      <c r="BM26" s="98">
        <v>1</v>
      </c>
      <c r="BN26" s="99"/>
      <c r="BO26" s="95">
        <v>0</v>
      </c>
      <c r="BP26" s="96">
        <v>0</v>
      </c>
      <c r="BQ26" s="96"/>
      <c r="BR26" s="97">
        <v>0</v>
      </c>
      <c r="BS26" s="99">
        <v>0</v>
      </c>
      <c r="BT26" s="99"/>
      <c r="BU26" s="95">
        <v>0</v>
      </c>
      <c r="BV26" s="96">
        <v>0</v>
      </c>
      <c r="BW26" s="96"/>
    </row>
    <row r="27" spans="1:75" s="3" customFormat="1" ht="10.9" customHeight="1">
      <c r="A27" s="100"/>
      <c r="B27" s="126" t="s">
        <v>15</v>
      </c>
      <c r="C27" s="126"/>
      <c r="D27" s="126"/>
      <c r="E27" s="15">
        <v>12</v>
      </c>
      <c r="F27" s="15">
        <v>11.5</v>
      </c>
      <c r="G27" s="15"/>
      <c r="H27" s="15">
        <v>9</v>
      </c>
      <c r="I27" s="15">
        <v>8.75</v>
      </c>
      <c r="J27" s="15"/>
      <c r="K27" s="15">
        <v>9</v>
      </c>
      <c r="L27" s="15">
        <v>8.8000000000000007</v>
      </c>
      <c r="M27" s="15"/>
      <c r="N27" s="15">
        <v>7</v>
      </c>
      <c r="O27" s="15">
        <v>6.75</v>
      </c>
      <c r="P27" s="15"/>
      <c r="Q27" s="15">
        <v>8</v>
      </c>
      <c r="R27" s="15">
        <v>7.37</v>
      </c>
      <c r="S27" s="15"/>
      <c r="T27" s="15">
        <v>7</v>
      </c>
      <c r="U27" s="15">
        <v>6.37</v>
      </c>
      <c r="V27" s="15"/>
      <c r="W27" s="15">
        <v>7</v>
      </c>
      <c r="X27" s="15">
        <v>6.37</v>
      </c>
      <c r="Y27" s="15"/>
      <c r="Z27" s="15">
        <v>7</v>
      </c>
      <c r="AA27" s="15">
        <v>6.37</v>
      </c>
      <c r="AB27" s="15"/>
      <c r="AC27" s="15">
        <v>5</v>
      </c>
      <c r="AD27" s="15">
        <v>5</v>
      </c>
      <c r="AE27" s="15"/>
      <c r="AF27" s="15">
        <v>4</v>
      </c>
      <c r="AG27" s="15">
        <v>4</v>
      </c>
      <c r="AH27" s="15"/>
      <c r="AI27" s="15">
        <v>4</v>
      </c>
      <c r="AJ27" s="15">
        <v>4</v>
      </c>
      <c r="AK27" s="15"/>
      <c r="AL27" s="15">
        <v>4</v>
      </c>
      <c r="AM27" s="15">
        <v>4</v>
      </c>
      <c r="AN27" s="127"/>
      <c r="AO27" s="15">
        <v>3</v>
      </c>
      <c r="AP27" s="16">
        <v>3</v>
      </c>
      <c r="AQ27" s="16"/>
      <c r="AR27" s="15">
        <v>4</v>
      </c>
      <c r="AS27" s="16">
        <v>4</v>
      </c>
      <c r="AT27" s="16"/>
      <c r="AU27" s="95">
        <v>4</v>
      </c>
      <c r="AV27" s="96">
        <v>4</v>
      </c>
      <c r="AW27" s="97">
        <v>4</v>
      </c>
      <c r="AX27" s="99">
        <v>4</v>
      </c>
      <c r="AY27" s="99"/>
      <c r="AZ27" s="95">
        <v>4</v>
      </c>
      <c r="BA27" s="96">
        <v>4</v>
      </c>
      <c r="BB27" s="96"/>
      <c r="BC27" s="97">
        <v>2</v>
      </c>
      <c r="BD27" s="99">
        <v>2</v>
      </c>
      <c r="BE27" s="99"/>
      <c r="BF27" s="95">
        <v>0</v>
      </c>
      <c r="BG27" s="96">
        <v>0</v>
      </c>
      <c r="BH27" s="96"/>
      <c r="BI27" s="95">
        <v>0</v>
      </c>
      <c r="BJ27" s="96">
        <v>0</v>
      </c>
      <c r="BK27" s="96"/>
      <c r="BL27" s="97">
        <v>1</v>
      </c>
      <c r="BM27" s="98">
        <v>1</v>
      </c>
      <c r="BN27" s="99"/>
      <c r="BO27" s="95">
        <v>0</v>
      </c>
      <c r="BP27" s="96">
        <v>0</v>
      </c>
      <c r="BQ27" s="96"/>
      <c r="BR27" s="97">
        <v>0</v>
      </c>
      <c r="BS27" s="99">
        <v>0</v>
      </c>
      <c r="BT27" s="99"/>
      <c r="BU27" s="95">
        <v>0</v>
      </c>
      <c r="BV27" s="96">
        <v>0</v>
      </c>
      <c r="BW27" s="96"/>
    </row>
    <row r="28" spans="1:75" s="3" customFormat="1" ht="10.9" customHeight="1">
      <c r="A28" s="100"/>
      <c r="B28" s="126" t="s">
        <v>21</v>
      </c>
      <c r="C28" s="126"/>
      <c r="D28" s="126"/>
      <c r="E28" s="15">
        <v>0</v>
      </c>
      <c r="F28" s="15">
        <v>0</v>
      </c>
      <c r="G28" s="15"/>
      <c r="H28" s="15">
        <v>0</v>
      </c>
      <c r="I28" s="15">
        <v>0</v>
      </c>
      <c r="J28" s="15"/>
      <c r="K28" s="15">
        <v>1</v>
      </c>
      <c r="L28" s="15">
        <v>1</v>
      </c>
      <c r="M28" s="15"/>
      <c r="N28" s="15">
        <v>0</v>
      </c>
      <c r="O28" s="15">
        <v>0</v>
      </c>
      <c r="P28" s="15"/>
      <c r="Q28" s="15">
        <v>0</v>
      </c>
      <c r="R28" s="15">
        <v>0</v>
      </c>
      <c r="S28" s="15"/>
      <c r="T28" s="15">
        <v>0</v>
      </c>
      <c r="U28" s="15">
        <v>0</v>
      </c>
      <c r="V28" s="15"/>
      <c r="W28" s="15">
        <v>0</v>
      </c>
      <c r="X28" s="15">
        <v>0</v>
      </c>
      <c r="Y28" s="15"/>
      <c r="Z28" s="15">
        <v>0</v>
      </c>
      <c r="AA28" s="15">
        <v>0</v>
      </c>
      <c r="AB28" s="15"/>
      <c r="AC28" s="15">
        <v>1</v>
      </c>
      <c r="AD28" s="15">
        <v>1</v>
      </c>
      <c r="AE28" s="15"/>
      <c r="AF28" s="15">
        <v>0</v>
      </c>
      <c r="AG28" s="15">
        <v>0</v>
      </c>
      <c r="AH28" s="15"/>
      <c r="AI28" s="15">
        <v>0</v>
      </c>
      <c r="AJ28" s="15">
        <v>0</v>
      </c>
      <c r="AK28" s="15"/>
      <c r="AL28" s="15">
        <v>0</v>
      </c>
      <c r="AM28" s="15">
        <v>0</v>
      </c>
      <c r="AN28" s="127"/>
      <c r="AO28" s="15">
        <v>2</v>
      </c>
      <c r="AP28" s="16">
        <v>1.7</v>
      </c>
      <c r="AQ28" s="16"/>
      <c r="AR28" s="15">
        <v>1</v>
      </c>
      <c r="AS28" s="16">
        <v>1</v>
      </c>
      <c r="AT28" s="16"/>
      <c r="AU28" s="95">
        <v>2</v>
      </c>
      <c r="AV28" s="96">
        <v>2</v>
      </c>
      <c r="AW28" s="97">
        <v>0</v>
      </c>
      <c r="AX28" s="99">
        <v>0</v>
      </c>
      <c r="AY28" s="99"/>
      <c r="AZ28" s="95">
        <v>2</v>
      </c>
      <c r="BA28" s="96">
        <v>1.6</v>
      </c>
      <c r="BB28" s="96"/>
      <c r="BC28" s="97">
        <v>1</v>
      </c>
      <c r="BD28" s="99">
        <v>1</v>
      </c>
      <c r="BE28" s="99"/>
      <c r="BF28" s="95">
        <v>0</v>
      </c>
      <c r="BG28" s="96">
        <v>0</v>
      </c>
      <c r="BH28" s="96"/>
      <c r="BI28" s="95">
        <v>0</v>
      </c>
      <c r="BJ28" s="96">
        <v>0</v>
      </c>
      <c r="BK28" s="96"/>
      <c r="BL28" s="97">
        <v>0</v>
      </c>
      <c r="BM28" s="98">
        <v>0</v>
      </c>
      <c r="BN28" s="99"/>
      <c r="BO28" s="95">
        <v>0</v>
      </c>
      <c r="BP28" s="96">
        <v>0</v>
      </c>
      <c r="BQ28" s="96"/>
      <c r="BR28" s="97">
        <v>0</v>
      </c>
      <c r="BS28" s="99">
        <v>0</v>
      </c>
      <c r="BT28" s="99"/>
      <c r="BU28" s="95">
        <v>0</v>
      </c>
      <c r="BV28" s="96">
        <v>0</v>
      </c>
      <c r="BW28" s="96"/>
    </row>
    <row r="29" spans="1:75" s="2" customFormat="1" ht="10.9" customHeight="1">
      <c r="A29" s="107"/>
      <c r="B29" s="126" t="s">
        <v>20</v>
      </c>
      <c r="C29" s="126"/>
      <c r="D29" s="126"/>
      <c r="E29" s="15">
        <v>81</v>
      </c>
      <c r="F29" s="15">
        <v>20.149999999999999</v>
      </c>
      <c r="G29" s="15"/>
      <c r="H29" s="15">
        <v>97</v>
      </c>
      <c r="I29" s="15">
        <v>21.17</v>
      </c>
      <c r="J29" s="15"/>
      <c r="K29" s="15">
        <v>103</v>
      </c>
      <c r="L29" s="15">
        <v>21.82</v>
      </c>
      <c r="M29" s="15"/>
      <c r="N29" s="15">
        <v>71</v>
      </c>
      <c r="O29" s="15">
        <v>20.65</v>
      </c>
      <c r="P29" s="15"/>
      <c r="Q29" s="15">
        <v>75</v>
      </c>
      <c r="R29" s="15">
        <v>23.21</v>
      </c>
      <c r="S29" s="15"/>
      <c r="T29" s="15">
        <v>70</v>
      </c>
      <c r="U29" s="15">
        <v>20.63</v>
      </c>
      <c r="V29" s="15"/>
      <c r="W29" s="15">
        <v>63</v>
      </c>
      <c r="X29" s="15">
        <v>19.97</v>
      </c>
      <c r="Y29" s="15"/>
      <c r="Z29" s="15">
        <v>63</v>
      </c>
      <c r="AA29" s="15">
        <v>17.45</v>
      </c>
      <c r="AB29" s="15"/>
      <c r="AC29" s="15">
        <v>57</v>
      </c>
      <c r="AD29" s="15">
        <v>16</v>
      </c>
      <c r="AE29" s="15"/>
      <c r="AF29" s="15">
        <v>71</v>
      </c>
      <c r="AG29" s="15">
        <v>20</v>
      </c>
      <c r="AH29" s="15"/>
      <c r="AI29" s="15">
        <v>89</v>
      </c>
      <c r="AJ29" s="15">
        <v>23</v>
      </c>
      <c r="AK29" s="15"/>
      <c r="AL29" s="15">
        <v>102</v>
      </c>
      <c r="AM29" s="15">
        <v>25.04</v>
      </c>
      <c r="AN29" s="127"/>
      <c r="AO29" s="15">
        <v>113</v>
      </c>
      <c r="AP29" s="16">
        <v>36.5</v>
      </c>
      <c r="AQ29" s="16"/>
      <c r="AR29" s="15">
        <v>144</v>
      </c>
      <c r="AS29" s="16">
        <v>46.5</v>
      </c>
      <c r="AT29" s="16"/>
      <c r="AU29" s="95">
        <v>137</v>
      </c>
      <c r="AV29" s="96">
        <v>41.75</v>
      </c>
      <c r="AW29" s="97">
        <v>120</v>
      </c>
      <c r="AX29" s="99">
        <v>35.75</v>
      </c>
      <c r="AY29" s="99"/>
      <c r="AZ29" s="95">
        <v>117</v>
      </c>
      <c r="BA29" s="96">
        <v>35.75</v>
      </c>
      <c r="BB29" s="96"/>
      <c r="BC29" s="97">
        <v>118</v>
      </c>
      <c r="BD29" s="99">
        <v>33.988599999999998</v>
      </c>
      <c r="BE29" s="99"/>
      <c r="BF29" s="95">
        <v>104</v>
      </c>
      <c r="BG29" s="96">
        <v>28.75</v>
      </c>
      <c r="BH29" s="96"/>
      <c r="BI29" s="95">
        <v>77</v>
      </c>
      <c r="BJ29" s="96">
        <v>20.75</v>
      </c>
      <c r="BK29" s="96"/>
      <c r="BL29" s="97">
        <v>91</v>
      </c>
      <c r="BM29" s="98">
        <v>23.5</v>
      </c>
      <c r="BN29" s="99"/>
      <c r="BO29" s="95">
        <v>107</v>
      </c>
      <c r="BP29" s="96">
        <v>30.5</v>
      </c>
      <c r="BQ29" s="96"/>
      <c r="BR29" s="97">
        <v>125</v>
      </c>
      <c r="BS29" s="99">
        <v>32.308099999999996</v>
      </c>
      <c r="BT29" s="99"/>
      <c r="BU29" s="95">
        <v>110</v>
      </c>
      <c r="BV29" s="96">
        <v>29.5</v>
      </c>
      <c r="BW29" s="96"/>
    </row>
    <row r="30" spans="1:75" s="5" customFormat="1" ht="15" customHeight="1">
      <c r="A30" s="133" t="s">
        <v>3</v>
      </c>
      <c r="B30" s="133"/>
      <c r="C30" s="133"/>
      <c r="D30" s="133"/>
      <c r="E30" s="24">
        <f t="shared" ref="E30:AM30" si="15">SUM(E31:E37)</f>
        <v>903</v>
      </c>
      <c r="F30" s="24">
        <f t="shared" si="15"/>
        <v>512.18000000000006</v>
      </c>
      <c r="G30" s="24">
        <f t="shared" si="15"/>
        <v>0</v>
      </c>
      <c r="H30" s="24">
        <f t="shared" si="15"/>
        <v>918</v>
      </c>
      <c r="I30" s="24">
        <f t="shared" si="15"/>
        <v>513.73</v>
      </c>
      <c r="J30" s="24">
        <f t="shared" si="15"/>
        <v>0</v>
      </c>
      <c r="K30" s="24">
        <f t="shared" si="15"/>
        <v>1010</v>
      </c>
      <c r="L30" s="24">
        <f t="shared" si="15"/>
        <v>532.65</v>
      </c>
      <c r="M30" s="24">
        <f t="shared" si="15"/>
        <v>0</v>
      </c>
      <c r="N30" s="24">
        <f t="shared" si="15"/>
        <v>745</v>
      </c>
      <c r="O30" s="24">
        <f t="shared" si="15"/>
        <v>523.84</v>
      </c>
      <c r="P30" s="24">
        <f t="shared" si="15"/>
        <v>0</v>
      </c>
      <c r="Q30" s="24">
        <f t="shared" si="15"/>
        <v>714</v>
      </c>
      <c r="R30" s="24">
        <f t="shared" si="15"/>
        <v>513.45000000000005</v>
      </c>
      <c r="S30" s="24">
        <f t="shared" si="15"/>
        <v>0</v>
      </c>
      <c r="T30" s="24">
        <f t="shared" si="15"/>
        <v>725</v>
      </c>
      <c r="U30" s="24">
        <f t="shared" si="15"/>
        <v>515.09</v>
      </c>
      <c r="V30" s="24">
        <f t="shared" si="15"/>
        <v>0</v>
      </c>
      <c r="W30" s="24">
        <f t="shared" si="15"/>
        <v>726</v>
      </c>
      <c r="X30" s="24">
        <f t="shared" si="15"/>
        <v>521.98</v>
      </c>
      <c r="Y30" s="24">
        <f t="shared" si="15"/>
        <v>0</v>
      </c>
      <c r="Z30" s="24">
        <f t="shared" si="15"/>
        <v>774</v>
      </c>
      <c r="AA30" s="24">
        <f t="shared" si="15"/>
        <v>548.70000000000005</v>
      </c>
      <c r="AB30" s="24">
        <f t="shared" si="15"/>
        <v>0</v>
      </c>
      <c r="AC30" s="24">
        <f t="shared" si="15"/>
        <v>766</v>
      </c>
      <c r="AD30" s="24">
        <f t="shared" si="15"/>
        <v>541.63</v>
      </c>
      <c r="AE30" s="24">
        <f t="shared" si="15"/>
        <v>0</v>
      </c>
      <c r="AF30" s="24">
        <f t="shared" si="15"/>
        <v>806</v>
      </c>
      <c r="AG30" s="24">
        <f t="shared" si="15"/>
        <v>547.63</v>
      </c>
      <c r="AH30" s="24">
        <f t="shared" si="15"/>
        <v>0</v>
      </c>
      <c r="AI30" s="24">
        <f t="shared" si="15"/>
        <v>898</v>
      </c>
      <c r="AJ30" s="24">
        <f t="shared" si="15"/>
        <v>590</v>
      </c>
      <c r="AK30" s="24">
        <f t="shared" si="15"/>
        <v>0</v>
      </c>
      <c r="AL30" s="24">
        <f t="shared" si="15"/>
        <v>932</v>
      </c>
      <c r="AM30" s="24">
        <f t="shared" si="15"/>
        <v>636.33000000000004</v>
      </c>
      <c r="AN30" s="127"/>
      <c r="AO30" s="24">
        <f t="shared" ref="AO30:AP30" si="16">SUM(AO31:AO37)</f>
        <v>1078</v>
      </c>
      <c r="AP30" s="29">
        <f t="shared" si="16"/>
        <v>741.31</v>
      </c>
      <c r="AQ30" s="29"/>
      <c r="AR30" s="24">
        <f t="shared" ref="AR30:AS30" si="17">SUM(AR31:AR37)</f>
        <v>1229</v>
      </c>
      <c r="AS30" s="29">
        <f t="shared" si="17"/>
        <v>847.92000000000007</v>
      </c>
      <c r="AT30" s="29"/>
      <c r="AU30" s="44">
        <f t="shared" ref="AU30:AV30" si="18">SUM(AU31:AU37)</f>
        <v>1341</v>
      </c>
      <c r="AV30" s="45">
        <f t="shared" si="18"/>
        <v>923.21</v>
      </c>
      <c r="AW30" s="46">
        <f t="shared" ref="AW30:AX30" si="19">SUM(AW31:AW37)</f>
        <v>1388</v>
      </c>
      <c r="AX30" s="47">
        <f t="shared" si="19"/>
        <v>955.11</v>
      </c>
      <c r="AY30" s="47"/>
      <c r="AZ30" s="44">
        <f>SUM(AZ31:AZ37)</f>
        <v>1450</v>
      </c>
      <c r="BA30" s="45">
        <f>SUM(BA31:BA37)</f>
        <v>982.35</v>
      </c>
      <c r="BB30" s="45"/>
      <c r="BC30" s="46">
        <f>SUM(BC31:BC37)</f>
        <v>1381</v>
      </c>
      <c r="BD30" s="64">
        <f>SUM(BD31:BD37)</f>
        <v>942.16909999999996</v>
      </c>
      <c r="BE30" s="47"/>
      <c r="BF30" s="44">
        <f>SUM(BF31:BF37)</f>
        <v>1172</v>
      </c>
      <c r="BG30" s="45">
        <f>SUM(BG31:BG37)</f>
        <v>824.19710000000009</v>
      </c>
      <c r="BH30" s="45"/>
      <c r="BI30" s="44">
        <f>SUM(BI31:BI37)</f>
        <v>1180</v>
      </c>
      <c r="BJ30" s="89">
        <f>SUM(BJ31:BJ37)</f>
        <v>820.37999999999988</v>
      </c>
      <c r="BK30" s="45"/>
      <c r="BL30" s="46">
        <f>SUM(BL31:BL37)</f>
        <v>1191</v>
      </c>
      <c r="BM30" s="80">
        <f>SUM(BM31:BM37)</f>
        <v>818.55510000000004</v>
      </c>
      <c r="BN30" s="47"/>
      <c r="BO30" s="44">
        <f>SUM(BO31:BO37)</f>
        <v>1181</v>
      </c>
      <c r="BP30" s="89">
        <f>SUM(BP31:BP37)</f>
        <v>836.97659999999928</v>
      </c>
      <c r="BQ30" s="45"/>
      <c r="BR30" s="46">
        <f>SUM(BR31:BR37)</f>
        <v>1310</v>
      </c>
      <c r="BS30" s="64">
        <f>SUM(BS31:BS37)</f>
        <v>897.2376999999999</v>
      </c>
      <c r="BT30" s="47"/>
      <c r="BU30" s="44">
        <f>SUM(BU31:BU37)</f>
        <v>1396</v>
      </c>
      <c r="BV30" s="89">
        <f>SUM(BV31:BV37)</f>
        <v>971.00010000000009</v>
      </c>
      <c r="BW30" s="45"/>
    </row>
    <row r="31" spans="1:75" s="9" customFormat="1" ht="10.9" customHeight="1">
      <c r="A31" s="32"/>
      <c r="B31" s="126" t="s">
        <v>17</v>
      </c>
      <c r="C31" s="126"/>
      <c r="D31" s="126"/>
      <c r="E31" s="17">
        <v>185</v>
      </c>
      <c r="F31" s="17">
        <v>166</v>
      </c>
      <c r="G31" s="17"/>
      <c r="H31" s="17">
        <v>183</v>
      </c>
      <c r="I31" s="17">
        <v>165.22</v>
      </c>
      <c r="J31" s="17"/>
      <c r="K31" s="17">
        <v>183</v>
      </c>
      <c r="L31" s="17">
        <v>165</v>
      </c>
      <c r="M31" s="17"/>
      <c r="N31" s="17">
        <v>183</v>
      </c>
      <c r="O31" s="17">
        <v>166</v>
      </c>
      <c r="P31" s="17"/>
      <c r="Q31" s="17">
        <f>145+42</f>
        <v>187</v>
      </c>
      <c r="R31" s="17">
        <f>39.74+124.66</f>
        <v>164.4</v>
      </c>
      <c r="S31" s="17"/>
      <c r="T31" s="17">
        <f>134+45</f>
        <v>179</v>
      </c>
      <c r="U31" s="17">
        <f>117.99+41.86</f>
        <v>159.85</v>
      </c>
      <c r="V31" s="17"/>
      <c r="W31" s="17">
        <f>127+50</f>
        <v>177</v>
      </c>
      <c r="X31" s="17">
        <f>112.47+48.16</f>
        <v>160.63</v>
      </c>
      <c r="Y31" s="17"/>
      <c r="Z31" s="17">
        <f>136+52</f>
        <v>188</v>
      </c>
      <c r="AA31" s="17">
        <f>116.11+50.93</f>
        <v>167.04</v>
      </c>
      <c r="AB31" s="17"/>
      <c r="AC31" s="17">
        <v>184</v>
      </c>
      <c r="AD31" s="17">
        <v>168</v>
      </c>
      <c r="AE31" s="17"/>
      <c r="AF31" s="17">
        <v>183</v>
      </c>
      <c r="AG31" s="17">
        <v>165</v>
      </c>
      <c r="AH31" s="17"/>
      <c r="AI31" s="17">
        <v>181</v>
      </c>
      <c r="AJ31" s="17">
        <v>170</v>
      </c>
      <c r="AK31" s="17"/>
      <c r="AL31" s="17">
        <v>196</v>
      </c>
      <c r="AM31" s="17">
        <v>184.71</v>
      </c>
      <c r="AN31" s="127"/>
      <c r="AO31" s="17">
        <v>187</v>
      </c>
      <c r="AP31" s="14">
        <v>183.6</v>
      </c>
      <c r="AQ31" s="14"/>
      <c r="AR31" s="17">
        <v>197</v>
      </c>
      <c r="AS31" s="14">
        <v>194.63</v>
      </c>
      <c r="AT31" s="14"/>
      <c r="AU31" s="36">
        <v>209</v>
      </c>
      <c r="AV31" s="37">
        <v>206.53</v>
      </c>
      <c r="AW31" s="33">
        <f>146+63</f>
        <v>209</v>
      </c>
      <c r="AX31" s="35">
        <f>142.97+63</f>
        <v>205.97</v>
      </c>
      <c r="AY31" s="35"/>
      <c r="AZ31" s="36">
        <v>219</v>
      </c>
      <c r="BA31" s="37">
        <v>213.45</v>
      </c>
      <c r="BB31" s="37"/>
      <c r="BC31" s="33">
        <v>218</v>
      </c>
      <c r="BD31" s="35">
        <v>210.75</v>
      </c>
      <c r="BE31" s="35"/>
      <c r="BF31" s="36">
        <v>206</v>
      </c>
      <c r="BG31" s="37">
        <v>201.51500000000001</v>
      </c>
      <c r="BH31" s="37"/>
      <c r="BI31" s="95">
        <v>209</v>
      </c>
      <c r="BJ31" s="96">
        <v>203.71</v>
      </c>
      <c r="BK31" s="96"/>
      <c r="BL31" s="97">
        <v>194</v>
      </c>
      <c r="BM31" s="98">
        <v>190.83250000000001</v>
      </c>
      <c r="BN31" s="99"/>
      <c r="BO31" s="95">
        <v>197</v>
      </c>
      <c r="BP31" s="96">
        <v>193.5325</v>
      </c>
      <c r="BQ31" s="96"/>
      <c r="BR31" s="97">
        <v>204</v>
      </c>
      <c r="BS31" s="99">
        <v>201.5325</v>
      </c>
      <c r="BT31" s="99"/>
      <c r="BU31" s="95">
        <v>200</v>
      </c>
      <c r="BV31" s="96">
        <v>197.2</v>
      </c>
      <c r="BW31" s="37"/>
    </row>
    <row r="32" spans="1:75" s="11" customFormat="1" ht="12" customHeight="1">
      <c r="A32" s="38"/>
      <c r="B32" s="128" t="s">
        <v>38</v>
      </c>
      <c r="C32" s="128"/>
      <c r="D32" s="128"/>
      <c r="E32" s="17">
        <v>33</v>
      </c>
      <c r="F32" s="17">
        <v>20</v>
      </c>
      <c r="G32" s="17"/>
      <c r="H32" s="17">
        <v>32</v>
      </c>
      <c r="I32" s="17">
        <v>18.78</v>
      </c>
      <c r="J32" s="17"/>
      <c r="K32" s="17">
        <v>35</v>
      </c>
      <c r="L32" s="17">
        <v>21</v>
      </c>
      <c r="M32" s="17"/>
      <c r="N32" s="17">
        <v>30</v>
      </c>
      <c r="O32" s="17">
        <v>19</v>
      </c>
      <c r="P32" s="17"/>
      <c r="Q32" s="17">
        <f>215-145-42</f>
        <v>28</v>
      </c>
      <c r="R32" s="17">
        <f>183.62-124.66-39.74</f>
        <v>19.220000000000006</v>
      </c>
      <c r="S32" s="17"/>
      <c r="T32" s="17">
        <f>219-134-45</f>
        <v>40</v>
      </c>
      <c r="U32" s="17">
        <f>187.61-117.99-41.86</f>
        <v>27.760000000000019</v>
      </c>
      <c r="V32" s="17"/>
      <c r="W32" s="17">
        <f>214-W31</f>
        <v>37</v>
      </c>
      <c r="X32" s="17">
        <f>187.5-X31</f>
        <v>26.870000000000005</v>
      </c>
      <c r="Y32" s="17"/>
      <c r="Z32" s="17">
        <f>222-Z31</f>
        <v>34</v>
      </c>
      <c r="AA32" s="17">
        <f>191.33-AA31</f>
        <v>24.29000000000002</v>
      </c>
      <c r="AB32" s="17"/>
      <c r="AC32" s="17">
        <v>41</v>
      </c>
      <c r="AD32" s="17">
        <v>28</v>
      </c>
      <c r="AE32" s="17"/>
      <c r="AF32" s="17">
        <v>42</v>
      </c>
      <c r="AG32" s="17">
        <v>31</v>
      </c>
      <c r="AH32" s="17"/>
      <c r="AI32" s="17">
        <v>45</v>
      </c>
      <c r="AJ32" s="17">
        <v>35</v>
      </c>
      <c r="AK32" s="17"/>
      <c r="AL32" s="17">
        <v>52</v>
      </c>
      <c r="AM32" s="17">
        <v>39.17</v>
      </c>
      <c r="AN32" s="127"/>
      <c r="AO32" s="17">
        <v>52</v>
      </c>
      <c r="AP32" s="14">
        <v>45.93</v>
      </c>
      <c r="AQ32" s="14"/>
      <c r="AR32" s="17">
        <v>58</v>
      </c>
      <c r="AS32" s="14">
        <v>50.42</v>
      </c>
      <c r="AT32" s="14"/>
      <c r="AU32" s="36">
        <v>64</v>
      </c>
      <c r="AV32" s="37">
        <v>55.63</v>
      </c>
      <c r="AW32" s="33">
        <v>66</v>
      </c>
      <c r="AX32" s="35">
        <v>55.62</v>
      </c>
      <c r="AY32" s="35"/>
      <c r="AZ32" s="36">
        <v>66</v>
      </c>
      <c r="BA32" s="37">
        <v>57.79</v>
      </c>
      <c r="BB32" s="37"/>
      <c r="BC32" s="33">
        <v>71</v>
      </c>
      <c r="BD32" s="35">
        <v>59.302399999999999</v>
      </c>
      <c r="BE32" s="35"/>
      <c r="BF32" s="36">
        <v>75</v>
      </c>
      <c r="BG32" s="37">
        <v>64.067300000000003</v>
      </c>
      <c r="BH32" s="37"/>
      <c r="BI32" s="36">
        <v>79</v>
      </c>
      <c r="BJ32" s="37">
        <v>65.88</v>
      </c>
      <c r="BK32" s="37"/>
      <c r="BL32" s="33">
        <v>81</v>
      </c>
      <c r="BM32" s="79">
        <v>68.458600000000004</v>
      </c>
      <c r="BN32" s="35"/>
      <c r="BO32" s="36">
        <v>75</v>
      </c>
      <c r="BP32" s="37">
        <v>62.469200000000008</v>
      </c>
      <c r="BQ32" s="37"/>
      <c r="BR32" s="33">
        <v>79</v>
      </c>
      <c r="BS32" s="35">
        <v>66.170200000000008</v>
      </c>
      <c r="BT32" s="35"/>
      <c r="BU32" s="36">
        <v>82</v>
      </c>
      <c r="BV32" s="37">
        <v>68.836699999999993</v>
      </c>
      <c r="BW32" s="37"/>
    </row>
    <row r="33" spans="1:75" s="2" customFormat="1" ht="10.9" customHeight="1">
      <c r="A33" s="100" t="s">
        <v>0</v>
      </c>
      <c r="B33" s="126" t="s">
        <v>18</v>
      </c>
      <c r="C33" s="126"/>
      <c r="D33" s="126"/>
      <c r="E33" s="15">
        <v>81</v>
      </c>
      <c r="F33" s="15">
        <v>84.42</v>
      </c>
      <c r="G33" s="15"/>
      <c r="H33" s="15">
        <v>83</v>
      </c>
      <c r="I33" s="15">
        <v>85.04</v>
      </c>
      <c r="J33" s="15"/>
      <c r="K33" s="15">
        <v>90</v>
      </c>
      <c r="L33" s="15">
        <v>91.08</v>
      </c>
      <c r="M33" s="15"/>
      <c r="N33" s="15">
        <v>93</v>
      </c>
      <c r="O33" s="15">
        <v>90.45</v>
      </c>
      <c r="P33" s="15"/>
      <c r="Q33" s="15">
        <v>93</v>
      </c>
      <c r="R33" s="15">
        <v>91.43</v>
      </c>
      <c r="S33" s="15"/>
      <c r="T33" s="15">
        <v>94</v>
      </c>
      <c r="U33" s="15">
        <v>92.14</v>
      </c>
      <c r="V33" s="15"/>
      <c r="W33" s="15">
        <v>104</v>
      </c>
      <c r="X33" s="15">
        <v>100.93</v>
      </c>
      <c r="Y33" s="15"/>
      <c r="Z33" s="15">
        <v>117</v>
      </c>
      <c r="AA33" s="15">
        <v>113.75</v>
      </c>
      <c r="AB33" s="15"/>
      <c r="AC33" s="15">
        <v>120</v>
      </c>
      <c r="AD33" s="15">
        <v>119</v>
      </c>
      <c r="AE33" s="15"/>
      <c r="AF33" s="15">
        <v>96</v>
      </c>
      <c r="AG33" s="15">
        <v>95</v>
      </c>
      <c r="AH33" s="15"/>
      <c r="AI33" s="15">
        <v>111</v>
      </c>
      <c r="AJ33" s="15">
        <v>111</v>
      </c>
      <c r="AK33" s="15"/>
      <c r="AL33" s="15">
        <v>128</v>
      </c>
      <c r="AM33" s="15">
        <v>131.6</v>
      </c>
      <c r="AN33" s="127"/>
      <c r="AO33" s="15">
        <v>150</v>
      </c>
      <c r="AP33" s="16">
        <v>147.34</v>
      </c>
      <c r="AQ33" s="16"/>
      <c r="AR33" s="15">
        <v>210</v>
      </c>
      <c r="AS33" s="16">
        <v>202.16</v>
      </c>
      <c r="AT33" s="16"/>
      <c r="AU33" s="95">
        <v>220</v>
      </c>
      <c r="AV33" s="96">
        <v>212.18</v>
      </c>
      <c r="AW33" s="97">
        <v>238</v>
      </c>
      <c r="AX33" s="99">
        <v>229.47</v>
      </c>
      <c r="AY33" s="99"/>
      <c r="AZ33" s="95">
        <v>239</v>
      </c>
      <c r="BA33" s="96">
        <v>231.63</v>
      </c>
      <c r="BB33" s="96"/>
      <c r="BC33" s="97">
        <v>235</v>
      </c>
      <c r="BD33" s="99">
        <v>228.54169999999999</v>
      </c>
      <c r="BE33" s="99"/>
      <c r="BF33" s="95">
        <v>232</v>
      </c>
      <c r="BG33" s="96">
        <v>225.03299999999999</v>
      </c>
      <c r="BH33" s="96"/>
      <c r="BI33" s="95">
        <v>231</v>
      </c>
      <c r="BJ33" s="96">
        <v>223.27</v>
      </c>
      <c r="BK33" s="96"/>
      <c r="BL33" s="97">
        <v>236</v>
      </c>
      <c r="BM33" s="98">
        <v>227.97399999999999</v>
      </c>
      <c r="BN33" s="99"/>
      <c r="BO33" s="95">
        <v>249</v>
      </c>
      <c r="BP33" s="96">
        <v>244.45</v>
      </c>
      <c r="BQ33" s="96"/>
      <c r="BR33" s="97">
        <v>258</v>
      </c>
      <c r="BS33" s="99">
        <v>252.97499999999997</v>
      </c>
      <c r="BT33" s="99"/>
      <c r="BU33" s="95">
        <v>278</v>
      </c>
      <c r="BV33" s="96">
        <v>273.45</v>
      </c>
      <c r="BW33" s="96"/>
    </row>
    <row r="34" spans="1:75" s="3" customFormat="1" ht="10.9" customHeight="1">
      <c r="A34" s="107"/>
      <c r="B34" s="126" t="s">
        <v>19</v>
      </c>
      <c r="C34" s="126"/>
      <c r="D34" s="126"/>
      <c r="E34" s="15">
        <v>0</v>
      </c>
      <c r="F34" s="15">
        <v>0</v>
      </c>
      <c r="G34" s="15"/>
      <c r="H34" s="15">
        <v>0</v>
      </c>
      <c r="I34" s="15">
        <v>0</v>
      </c>
      <c r="J34" s="15"/>
      <c r="K34" s="15">
        <v>0</v>
      </c>
      <c r="L34" s="15">
        <v>0</v>
      </c>
      <c r="M34" s="15"/>
      <c r="N34" s="15">
        <v>1</v>
      </c>
      <c r="O34" s="15">
        <v>0.25</v>
      </c>
      <c r="P34" s="15"/>
      <c r="Q34" s="15">
        <v>1</v>
      </c>
      <c r="R34" s="15">
        <v>0.25</v>
      </c>
      <c r="S34" s="15"/>
      <c r="T34" s="15">
        <v>2</v>
      </c>
      <c r="U34" s="15">
        <v>0.91</v>
      </c>
      <c r="V34" s="15"/>
      <c r="W34" s="15">
        <v>4</v>
      </c>
      <c r="X34" s="15">
        <v>0.91</v>
      </c>
      <c r="Y34" s="15"/>
      <c r="Z34" s="15">
        <v>4</v>
      </c>
      <c r="AA34" s="15">
        <v>0.63</v>
      </c>
      <c r="AB34" s="15"/>
      <c r="AC34" s="15">
        <v>3</v>
      </c>
      <c r="AD34" s="15">
        <v>0.63</v>
      </c>
      <c r="AE34" s="15"/>
      <c r="AF34" s="15">
        <v>1</v>
      </c>
      <c r="AG34" s="15">
        <v>0.63</v>
      </c>
      <c r="AH34" s="15"/>
      <c r="AI34" s="15">
        <v>3</v>
      </c>
      <c r="AJ34" s="15">
        <v>2</v>
      </c>
      <c r="AK34" s="15"/>
      <c r="AL34" s="15">
        <v>4</v>
      </c>
      <c r="AM34" s="15">
        <v>2.75</v>
      </c>
      <c r="AN34" s="127"/>
      <c r="AO34" s="15">
        <v>4</v>
      </c>
      <c r="AP34" s="16">
        <v>1.78</v>
      </c>
      <c r="AQ34" s="16"/>
      <c r="AR34" s="15">
        <v>4</v>
      </c>
      <c r="AS34" s="16">
        <v>1.73</v>
      </c>
      <c r="AT34" s="16"/>
      <c r="AU34" s="95">
        <v>3</v>
      </c>
      <c r="AV34" s="96">
        <v>2.6</v>
      </c>
      <c r="AW34" s="97">
        <v>4</v>
      </c>
      <c r="AX34" s="99">
        <v>3.2</v>
      </c>
      <c r="AY34" s="99"/>
      <c r="AZ34" s="95">
        <v>2</v>
      </c>
      <c r="BA34" s="96">
        <v>1.2</v>
      </c>
      <c r="BB34" s="96"/>
      <c r="BC34" s="97">
        <v>1</v>
      </c>
      <c r="BD34" s="99">
        <v>0.6</v>
      </c>
      <c r="BE34" s="99"/>
      <c r="BF34" s="95">
        <v>1</v>
      </c>
      <c r="BG34" s="96">
        <v>0.44</v>
      </c>
      <c r="BH34" s="96"/>
      <c r="BI34" s="95">
        <v>0</v>
      </c>
      <c r="BJ34" s="96">
        <v>0</v>
      </c>
      <c r="BK34" s="96"/>
      <c r="BL34" s="97">
        <v>0</v>
      </c>
      <c r="BM34" s="98">
        <v>0</v>
      </c>
      <c r="BN34" s="99"/>
      <c r="BO34" s="95">
        <v>0</v>
      </c>
      <c r="BP34" s="96">
        <v>0</v>
      </c>
      <c r="BQ34" s="96"/>
      <c r="BR34" s="97">
        <v>0</v>
      </c>
      <c r="BS34" s="99">
        <v>0</v>
      </c>
      <c r="BT34" s="99"/>
      <c r="BU34" s="95">
        <v>0</v>
      </c>
      <c r="BV34" s="96">
        <v>0</v>
      </c>
      <c r="BW34" s="96"/>
    </row>
    <row r="35" spans="1:75" s="3" customFormat="1" ht="10.9" customHeight="1">
      <c r="A35" s="100"/>
      <c r="B35" s="126" t="s">
        <v>15</v>
      </c>
      <c r="C35" s="126"/>
      <c r="D35" s="126"/>
      <c r="E35" s="15">
        <v>62</v>
      </c>
      <c r="F35" s="15">
        <v>60</v>
      </c>
      <c r="G35" s="15"/>
      <c r="H35" s="15">
        <v>60</v>
      </c>
      <c r="I35" s="15">
        <v>60</v>
      </c>
      <c r="J35" s="15"/>
      <c r="K35" s="15">
        <v>62</v>
      </c>
      <c r="L35" s="15">
        <v>59.61</v>
      </c>
      <c r="M35" s="15"/>
      <c r="N35" s="15">
        <v>57</v>
      </c>
      <c r="O35" s="15">
        <v>54.53</v>
      </c>
      <c r="P35" s="15"/>
      <c r="Q35" s="15">
        <v>56</v>
      </c>
      <c r="R35" s="15">
        <v>53.76</v>
      </c>
      <c r="S35" s="15"/>
      <c r="T35" s="15">
        <v>53</v>
      </c>
      <c r="U35" s="15">
        <v>50.49</v>
      </c>
      <c r="V35" s="15"/>
      <c r="W35" s="15">
        <v>49</v>
      </c>
      <c r="X35" s="15">
        <v>47.02</v>
      </c>
      <c r="Y35" s="15"/>
      <c r="Z35" s="15">
        <v>50</v>
      </c>
      <c r="AA35" s="15">
        <v>46.84</v>
      </c>
      <c r="AB35" s="15"/>
      <c r="AC35" s="15">
        <v>47</v>
      </c>
      <c r="AD35" s="15">
        <v>43</v>
      </c>
      <c r="AE35" s="15"/>
      <c r="AF35" s="15">
        <v>36</v>
      </c>
      <c r="AG35" s="15">
        <v>34</v>
      </c>
      <c r="AH35" s="15"/>
      <c r="AI35" s="15">
        <v>29</v>
      </c>
      <c r="AJ35" s="15">
        <v>29</v>
      </c>
      <c r="AK35" s="15"/>
      <c r="AL35" s="15">
        <v>22</v>
      </c>
      <c r="AM35" s="15">
        <v>22.5</v>
      </c>
      <c r="AN35" s="127"/>
      <c r="AO35" s="15">
        <v>21</v>
      </c>
      <c r="AP35" s="16">
        <v>21</v>
      </c>
      <c r="AQ35" s="16"/>
      <c r="AR35" s="15">
        <v>23</v>
      </c>
      <c r="AS35" s="16">
        <v>22.5</v>
      </c>
      <c r="AT35" s="16"/>
      <c r="AU35" s="95">
        <v>28</v>
      </c>
      <c r="AV35" s="96">
        <v>26.5</v>
      </c>
      <c r="AW35" s="97">
        <v>27</v>
      </c>
      <c r="AX35" s="99">
        <v>25.75</v>
      </c>
      <c r="AY35" s="99"/>
      <c r="AZ35" s="95">
        <v>23</v>
      </c>
      <c r="BA35" s="96">
        <v>22.21</v>
      </c>
      <c r="BB35" s="96"/>
      <c r="BC35" s="97">
        <v>21</v>
      </c>
      <c r="BD35" s="99">
        <v>20.208300000000001</v>
      </c>
      <c r="BE35" s="99"/>
      <c r="BF35" s="95">
        <v>15</v>
      </c>
      <c r="BG35" s="96">
        <v>14.5</v>
      </c>
      <c r="BH35" s="96"/>
      <c r="BI35" s="95">
        <v>13</v>
      </c>
      <c r="BJ35" s="96">
        <v>12.75</v>
      </c>
      <c r="BK35" s="96"/>
      <c r="BL35" s="97">
        <v>10</v>
      </c>
      <c r="BM35" s="98">
        <v>9.75</v>
      </c>
      <c r="BN35" s="99"/>
      <c r="BO35" s="95">
        <v>9</v>
      </c>
      <c r="BP35" s="96">
        <v>8.75</v>
      </c>
      <c r="BQ35" s="96"/>
      <c r="BR35" s="97">
        <v>5</v>
      </c>
      <c r="BS35" s="99">
        <v>4.75</v>
      </c>
      <c r="BT35" s="99"/>
      <c r="BU35" s="95">
        <v>4</v>
      </c>
      <c r="BV35" s="96">
        <v>4</v>
      </c>
      <c r="BW35" s="96"/>
    </row>
    <row r="36" spans="1:75" s="2" customFormat="1" ht="10.9" customHeight="1">
      <c r="A36" s="107"/>
      <c r="B36" s="126" t="s">
        <v>21</v>
      </c>
      <c r="C36" s="126"/>
      <c r="D36" s="126"/>
      <c r="E36" s="15">
        <v>17</v>
      </c>
      <c r="F36" s="15">
        <v>13.25</v>
      </c>
      <c r="G36" s="15"/>
      <c r="H36" s="15">
        <v>13</v>
      </c>
      <c r="I36" s="15">
        <v>13.5</v>
      </c>
      <c r="J36" s="15"/>
      <c r="K36" s="15">
        <v>15</v>
      </c>
      <c r="L36" s="15">
        <v>13.5</v>
      </c>
      <c r="M36" s="15"/>
      <c r="N36" s="15">
        <v>13</v>
      </c>
      <c r="O36" s="15">
        <v>10</v>
      </c>
      <c r="P36" s="15"/>
      <c r="Q36" s="15">
        <v>22</v>
      </c>
      <c r="R36" s="15">
        <v>20.6</v>
      </c>
      <c r="S36" s="15"/>
      <c r="T36" s="15">
        <v>25</v>
      </c>
      <c r="U36" s="15">
        <v>20.34</v>
      </c>
      <c r="V36" s="15"/>
      <c r="W36" s="15">
        <v>28</v>
      </c>
      <c r="X36" s="15">
        <v>19.11</v>
      </c>
      <c r="Y36" s="15"/>
      <c r="Z36" s="15">
        <v>29</v>
      </c>
      <c r="AA36" s="15">
        <v>24.84</v>
      </c>
      <c r="AB36" s="15"/>
      <c r="AC36" s="15">
        <v>38</v>
      </c>
      <c r="AD36" s="15">
        <v>22</v>
      </c>
      <c r="AE36" s="15"/>
      <c r="AF36" s="15">
        <v>49</v>
      </c>
      <c r="AG36" s="15">
        <v>31</v>
      </c>
      <c r="AH36" s="15"/>
      <c r="AI36" s="15">
        <v>43</v>
      </c>
      <c r="AJ36" s="15">
        <v>34</v>
      </c>
      <c r="AK36" s="15"/>
      <c r="AL36" s="15">
        <v>45</v>
      </c>
      <c r="AM36" s="15">
        <v>37.57</v>
      </c>
      <c r="AN36" s="127"/>
      <c r="AO36" s="15">
        <v>47</v>
      </c>
      <c r="AP36" s="16">
        <v>44.62</v>
      </c>
      <c r="AQ36" s="16"/>
      <c r="AR36" s="15">
        <v>52</v>
      </c>
      <c r="AS36" s="16">
        <v>50.7</v>
      </c>
      <c r="AT36" s="16"/>
      <c r="AU36" s="95">
        <v>56</v>
      </c>
      <c r="AV36" s="96">
        <v>51.72</v>
      </c>
      <c r="AW36" s="97">
        <v>52</v>
      </c>
      <c r="AX36" s="99">
        <v>49.6</v>
      </c>
      <c r="AY36" s="99"/>
      <c r="AZ36" s="95">
        <v>57</v>
      </c>
      <c r="BA36" s="96">
        <v>52.57</v>
      </c>
      <c r="BB36" s="96"/>
      <c r="BC36" s="97">
        <v>50</v>
      </c>
      <c r="BD36" s="99">
        <v>46.0167</v>
      </c>
      <c r="BE36" s="99"/>
      <c r="BF36" s="95">
        <v>30</v>
      </c>
      <c r="BG36" s="96">
        <v>28.791799999999999</v>
      </c>
      <c r="BH36" s="96"/>
      <c r="BI36" s="95">
        <v>46</v>
      </c>
      <c r="BJ36" s="96">
        <v>42.68</v>
      </c>
      <c r="BK36" s="96"/>
      <c r="BL36" s="97">
        <v>33</v>
      </c>
      <c r="BM36" s="98">
        <v>31.290000000000003</v>
      </c>
      <c r="BN36" s="99"/>
      <c r="BO36" s="95">
        <v>31</v>
      </c>
      <c r="BP36" s="96">
        <v>30.025000000000002</v>
      </c>
      <c r="BQ36" s="96"/>
      <c r="BR36" s="97">
        <v>42</v>
      </c>
      <c r="BS36" s="99">
        <v>40.059999999999995</v>
      </c>
      <c r="BT36" s="99"/>
      <c r="BU36" s="95">
        <v>55</v>
      </c>
      <c r="BV36" s="96">
        <v>54.15</v>
      </c>
      <c r="BW36" s="96"/>
    </row>
    <row r="37" spans="1:75" s="2" customFormat="1" ht="10.9" customHeight="1">
      <c r="A37" s="107"/>
      <c r="B37" s="126" t="s">
        <v>20</v>
      </c>
      <c r="C37" s="126"/>
      <c r="D37" s="126"/>
      <c r="E37" s="15">
        <v>525</v>
      </c>
      <c r="F37" s="15">
        <v>168.51</v>
      </c>
      <c r="G37" s="15"/>
      <c r="H37" s="15">
        <v>547</v>
      </c>
      <c r="I37" s="15">
        <v>171.19</v>
      </c>
      <c r="J37" s="15"/>
      <c r="K37" s="15">
        <v>625</v>
      </c>
      <c r="L37" s="15">
        <v>182.46</v>
      </c>
      <c r="M37" s="15"/>
      <c r="N37" s="15">
        <v>368</v>
      </c>
      <c r="O37" s="15">
        <v>183.61</v>
      </c>
      <c r="P37" s="15"/>
      <c r="Q37" s="15">
        <v>327</v>
      </c>
      <c r="R37" s="15">
        <v>163.79</v>
      </c>
      <c r="S37" s="15"/>
      <c r="T37" s="15">
        <v>332</v>
      </c>
      <c r="U37" s="15">
        <v>163.6</v>
      </c>
      <c r="V37" s="15"/>
      <c r="W37" s="15">
        <v>327</v>
      </c>
      <c r="X37" s="15">
        <v>166.51</v>
      </c>
      <c r="Y37" s="15"/>
      <c r="Z37" s="15">
        <v>352</v>
      </c>
      <c r="AA37" s="15">
        <v>171.31</v>
      </c>
      <c r="AB37" s="15"/>
      <c r="AC37" s="15">
        <v>333</v>
      </c>
      <c r="AD37" s="15">
        <v>161</v>
      </c>
      <c r="AE37" s="15"/>
      <c r="AF37" s="15">
        <v>399</v>
      </c>
      <c r="AG37" s="15">
        <v>191</v>
      </c>
      <c r="AH37" s="15"/>
      <c r="AI37" s="15">
        <v>486</v>
      </c>
      <c r="AJ37" s="15">
        <v>209</v>
      </c>
      <c r="AK37" s="15"/>
      <c r="AL37" s="15">
        <v>485</v>
      </c>
      <c r="AM37" s="15">
        <v>218.03</v>
      </c>
      <c r="AN37" s="127"/>
      <c r="AO37" s="15">
        <v>617</v>
      </c>
      <c r="AP37" s="16">
        <v>297.04000000000002</v>
      </c>
      <c r="AQ37" s="16"/>
      <c r="AR37" s="15">
        <v>685</v>
      </c>
      <c r="AS37" s="16">
        <v>325.77999999999997</v>
      </c>
      <c r="AT37" s="16"/>
      <c r="AU37" s="95">
        <v>761</v>
      </c>
      <c r="AV37" s="96">
        <v>368.05</v>
      </c>
      <c r="AW37" s="97">
        <v>792</v>
      </c>
      <c r="AX37" s="99">
        <v>385.5</v>
      </c>
      <c r="AY37" s="99"/>
      <c r="AZ37" s="95">
        <v>844</v>
      </c>
      <c r="BA37" s="96">
        <v>403.5</v>
      </c>
      <c r="BB37" s="96"/>
      <c r="BC37" s="97">
        <v>785</v>
      </c>
      <c r="BD37" s="99">
        <v>376.75</v>
      </c>
      <c r="BE37" s="99"/>
      <c r="BF37" s="95">
        <v>613</v>
      </c>
      <c r="BG37" s="96">
        <v>289.85000000000002</v>
      </c>
      <c r="BH37" s="96"/>
      <c r="BI37" s="95">
        <v>602</v>
      </c>
      <c r="BJ37" s="96">
        <v>272.08999999999997</v>
      </c>
      <c r="BK37" s="96"/>
      <c r="BL37" s="97">
        <v>637</v>
      </c>
      <c r="BM37" s="98">
        <v>290.25</v>
      </c>
      <c r="BN37" s="99"/>
      <c r="BO37" s="95">
        <v>620</v>
      </c>
      <c r="BP37" s="96">
        <v>297.74989999999929</v>
      </c>
      <c r="BQ37" s="96"/>
      <c r="BR37" s="97">
        <v>722</v>
      </c>
      <c r="BS37" s="99">
        <v>331.75</v>
      </c>
      <c r="BT37" s="99"/>
      <c r="BU37" s="95">
        <v>777</v>
      </c>
      <c r="BV37" s="96">
        <v>373.36340000000018</v>
      </c>
      <c r="BW37" s="96"/>
    </row>
    <row r="38" spans="1:75" s="6" customFormat="1" ht="15" customHeight="1">
      <c r="A38" s="133" t="s">
        <v>57</v>
      </c>
      <c r="B38" s="133"/>
      <c r="C38" s="133"/>
      <c r="D38" s="13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>
        <f>SUM(P39:P41)</f>
        <v>0</v>
      </c>
      <c r="Q38" s="24">
        <f>SUM(Q39:Q45)</f>
        <v>518</v>
      </c>
      <c r="R38" s="24">
        <f>SUM(R39:R45)</f>
        <v>420.41999999999996</v>
      </c>
      <c r="S38" s="24">
        <f>SUM(S39:S41)</f>
        <v>0</v>
      </c>
      <c r="T38" s="24">
        <f>SUM(T39:T45)</f>
        <v>502</v>
      </c>
      <c r="U38" s="24">
        <f>SUM(U39:U45)</f>
        <v>423.46</v>
      </c>
      <c r="V38" s="24">
        <f>SUM(V39:V41)</f>
        <v>0</v>
      </c>
      <c r="W38" s="24">
        <f>SUM(W39:W45)</f>
        <v>516</v>
      </c>
      <c r="X38" s="24">
        <f>SUM(X39:X45)</f>
        <v>425.89</v>
      </c>
      <c r="Y38" s="24">
        <f>SUM(Y39:Y41)</f>
        <v>0</v>
      </c>
      <c r="Z38" s="24">
        <f>SUM(Z39:Z45)</f>
        <v>522</v>
      </c>
      <c r="AA38" s="24">
        <f>SUM(AA39:AA45)</f>
        <v>442.03</v>
      </c>
      <c r="AB38" s="24">
        <f>SUM(AB39:AB41)</f>
        <v>0</v>
      </c>
      <c r="AC38" s="24">
        <f>SUM(AC39:AC45)</f>
        <v>622</v>
      </c>
      <c r="AD38" s="24">
        <f>SUM(AD39:AD45)</f>
        <v>471.65</v>
      </c>
      <c r="AE38" s="24">
        <f>SUM(AE39:AE41)</f>
        <v>0</v>
      </c>
      <c r="AF38" s="24">
        <f>SUM(AF39:AF45)</f>
        <v>574</v>
      </c>
      <c r="AG38" s="24">
        <f>SUM(AG39:AG45)</f>
        <v>443</v>
      </c>
      <c r="AH38" s="24">
        <f>SUM(AH39:AH41)</f>
        <v>0</v>
      </c>
      <c r="AI38" s="24">
        <f>SUM(AI39:AI45)</f>
        <v>595</v>
      </c>
      <c r="AJ38" s="24">
        <f>SUM(AJ39:AJ45)</f>
        <v>441</v>
      </c>
      <c r="AK38" s="24">
        <f>SUM(AK39:AK41)</f>
        <v>0</v>
      </c>
      <c r="AL38" s="24">
        <f>SUM(AL39:AL45)</f>
        <v>586</v>
      </c>
      <c r="AM38" s="24">
        <f>SUM(AM39:AM45)</f>
        <v>434.4</v>
      </c>
      <c r="AN38" s="85"/>
      <c r="AO38" s="24">
        <f t="shared" ref="AO38:AP38" si="20">SUM(AO39:AO45)</f>
        <v>679</v>
      </c>
      <c r="AP38" s="29">
        <f t="shared" si="20"/>
        <v>503.61</v>
      </c>
      <c r="AQ38" s="29"/>
      <c r="AR38" s="24">
        <f t="shared" ref="AR38:AS38" si="21">SUM(AR39:AR45)</f>
        <v>614</v>
      </c>
      <c r="AS38" s="29">
        <f t="shared" si="21"/>
        <v>453.64</v>
      </c>
      <c r="AT38" s="29"/>
      <c r="AU38" s="44">
        <f t="shared" ref="AU38:AV38" si="22">SUM(AU39:AU45)</f>
        <v>632</v>
      </c>
      <c r="AV38" s="45">
        <f t="shared" si="22"/>
        <v>472.3</v>
      </c>
      <c r="AW38" s="46">
        <f t="shared" ref="AW38:AX38" si="23">SUM(AW39:AW45)</f>
        <v>636</v>
      </c>
      <c r="AX38" s="47">
        <f t="shared" si="23"/>
        <v>479.28</v>
      </c>
      <c r="AY38" s="47"/>
      <c r="AZ38" s="44">
        <f>SUM(AZ39:AZ45)</f>
        <v>640</v>
      </c>
      <c r="BA38" s="45">
        <f>SUM(BA39:BA45)</f>
        <v>490.38</v>
      </c>
      <c r="BB38" s="45"/>
      <c r="BC38" s="46">
        <f>SUM(BC39:BC45)</f>
        <v>627</v>
      </c>
      <c r="BD38" s="47">
        <f>SUM(BD39:BD45)</f>
        <v>481.69190000000003</v>
      </c>
      <c r="BE38" s="47"/>
      <c r="BF38" s="44">
        <f>SUM(BF39:BF45)</f>
        <v>557</v>
      </c>
      <c r="BG38" s="45">
        <f>SUM(BG39:BG45)</f>
        <v>435.88890000000004</v>
      </c>
      <c r="BH38" s="45"/>
      <c r="BI38" s="44">
        <f>SUM(BI39:BI45)</f>
        <v>527</v>
      </c>
      <c r="BJ38" s="45">
        <f>SUM(BJ39:BJ45)</f>
        <v>416.98</v>
      </c>
      <c r="BK38" s="45"/>
      <c r="BL38" s="46">
        <f>SUM(BL39:BL45)</f>
        <v>502</v>
      </c>
      <c r="BM38" s="87">
        <f>SUM(BM39:BM45)</f>
        <v>393.39750000000004</v>
      </c>
      <c r="BN38" s="47"/>
      <c r="BO38" s="44">
        <f>SUM(BO39:BO45)</f>
        <v>457</v>
      </c>
      <c r="BP38" s="45">
        <f>SUM(BP39:BP45)</f>
        <v>379.94259999999997</v>
      </c>
      <c r="BQ38" s="45"/>
      <c r="BR38" s="46">
        <f>SUM(BR39:BR45)</f>
        <v>438</v>
      </c>
      <c r="BS38" s="47">
        <f>SUM(BS39:BS45)</f>
        <v>351.59000000000003</v>
      </c>
      <c r="BT38" s="47"/>
      <c r="BU38" s="44">
        <f>SUM(BU39:BU45)</f>
        <v>426</v>
      </c>
      <c r="BV38" s="45">
        <f>SUM(BV39:BV45)</f>
        <v>352.065</v>
      </c>
      <c r="BW38" s="45"/>
    </row>
    <row r="39" spans="1:75" s="12" customFormat="1" ht="10.9" customHeight="1">
      <c r="A39" s="50"/>
      <c r="B39" s="125" t="s">
        <v>17</v>
      </c>
      <c r="C39" s="125"/>
      <c r="D39" s="125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>
        <f>88+41</f>
        <v>129</v>
      </c>
      <c r="R39" s="17">
        <f>79.46+38.65</f>
        <v>118.10999999999999</v>
      </c>
      <c r="S39" s="17"/>
      <c r="T39" s="17">
        <f>84+35</f>
        <v>119</v>
      </c>
      <c r="U39" s="17">
        <f>78.08+33.29</f>
        <v>111.37</v>
      </c>
      <c r="V39" s="17"/>
      <c r="W39" s="17">
        <f>82+35</f>
        <v>117</v>
      </c>
      <c r="X39" s="17">
        <f>77.95+33.35</f>
        <v>111.30000000000001</v>
      </c>
      <c r="Y39" s="17"/>
      <c r="Z39" s="17">
        <f>84+32</f>
        <v>116</v>
      </c>
      <c r="AA39" s="17">
        <f>79.7+30.17</f>
        <v>109.87</v>
      </c>
      <c r="AB39" s="17"/>
      <c r="AC39" s="17">
        <v>117</v>
      </c>
      <c r="AD39" s="17">
        <v>108</v>
      </c>
      <c r="AE39" s="17"/>
      <c r="AF39" s="17">
        <v>110</v>
      </c>
      <c r="AG39" s="17">
        <v>102</v>
      </c>
      <c r="AH39" s="17"/>
      <c r="AI39" s="17">
        <v>107</v>
      </c>
      <c r="AJ39" s="17">
        <v>98</v>
      </c>
      <c r="AK39" s="17"/>
      <c r="AL39" s="17">
        <v>116</v>
      </c>
      <c r="AM39" s="17">
        <v>103.68</v>
      </c>
      <c r="AN39" s="23"/>
      <c r="AO39" s="17">
        <v>111</v>
      </c>
      <c r="AP39" s="14">
        <v>110.14</v>
      </c>
      <c r="AQ39" s="14"/>
      <c r="AR39" s="17">
        <v>120</v>
      </c>
      <c r="AS39" s="14">
        <v>119</v>
      </c>
      <c r="AT39" s="14"/>
      <c r="AU39" s="36">
        <v>131</v>
      </c>
      <c r="AV39" s="37">
        <v>130.5</v>
      </c>
      <c r="AW39" s="33">
        <f>74+55</f>
        <v>129</v>
      </c>
      <c r="AX39" s="35">
        <f>72.25+55</f>
        <v>127.25</v>
      </c>
      <c r="AY39" s="35"/>
      <c r="AZ39" s="36">
        <v>129</v>
      </c>
      <c r="BA39" s="37">
        <v>128.5</v>
      </c>
      <c r="BB39" s="37"/>
      <c r="BC39" s="33">
        <v>123</v>
      </c>
      <c r="BD39" s="35">
        <v>122.5</v>
      </c>
      <c r="BE39" s="35"/>
      <c r="BF39" s="36">
        <v>120</v>
      </c>
      <c r="BG39" s="37">
        <v>119.5</v>
      </c>
      <c r="BH39" s="37"/>
      <c r="BI39" s="95">
        <v>117</v>
      </c>
      <c r="BJ39" s="96">
        <v>116.5</v>
      </c>
      <c r="BK39" s="96"/>
      <c r="BL39" s="97">
        <v>103</v>
      </c>
      <c r="BM39" s="98">
        <v>102.5</v>
      </c>
      <c r="BN39" s="99"/>
      <c r="BO39" s="95">
        <v>96</v>
      </c>
      <c r="BP39" s="96">
        <v>95.25</v>
      </c>
      <c r="BQ39" s="96"/>
      <c r="BR39" s="97">
        <v>89</v>
      </c>
      <c r="BS39" s="99">
        <v>88.75</v>
      </c>
      <c r="BT39" s="99"/>
      <c r="BU39" s="95">
        <v>83</v>
      </c>
      <c r="BV39" s="96">
        <v>82.5</v>
      </c>
      <c r="BW39" s="37"/>
    </row>
    <row r="40" spans="1:75" s="12" customFormat="1" ht="12" customHeight="1">
      <c r="A40" s="50"/>
      <c r="B40" s="128" t="s">
        <v>38</v>
      </c>
      <c r="C40" s="128"/>
      <c r="D40" s="12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f>189-Q39</f>
        <v>60</v>
      </c>
      <c r="R40" s="17">
        <f>148.85-R39</f>
        <v>30.740000000000009</v>
      </c>
      <c r="S40" s="17"/>
      <c r="T40" s="17">
        <f>183-T39</f>
        <v>64</v>
      </c>
      <c r="U40" s="17">
        <f>144.01-U39</f>
        <v>32.639999999999986</v>
      </c>
      <c r="V40" s="17"/>
      <c r="W40" s="17">
        <f>172-W39</f>
        <v>55</v>
      </c>
      <c r="X40" s="17">
        <f>142.77-X39</f>
        <v>31.47</v>
      </c>
      <c r="Y40" s="17"/>
      <c r="Z40" s="17">
        <f>183-Z39</f>
        <v>67</v>
      </c>
      <c r="AA40" s="17">
        <f>150.76-AA39</f>
        <v>40.889999999999986</v>
      </c>
      <c r="AB40" s="17"/>
      <c r="AC40" s="17">
        <v>63</v>
      </c>
      <c r="AD40" s="17">
        <v>42</v>
      </c>
      <c r="AE40" s="17"/>
      <c r="AF40" s="17">
        <v>61</v>
      </c>
      <c r="AG40" s="17">
        <v>44</v>
      </c>
      <c r="AH40" s="17"/>
      <c r="AI40" s="17">
        <v>71</v>
      </c>
      <c r="AJ40" s="17">
        <v>47</v>
      </c>
      <c r="AK40" s="17"/>
      <c r="AL40" s="17">
        <v>68</v>
      </c>
      <c r="AM40" s="17">
        <v>47.88</v>
      </c>
      <c r="AN40" s="23"/>
      <c r="AO40" s="17">
        <v>77</v>
      </c>
      <c r="AP40" s="14">
        <v>49.66</v>
      </c>
      <c r="AQ40" s="14"/>
      <c r="AR40" s="17">
        <v>76</v>
      </c>
      <c r="AS40" s="14">
        <v>55.59</v>
      </c>
      <c r="AT40" s="14"/>
      <c r="AU40" s="36">
        <v>74</v>
      </c>
      <c r="AV40" s="37">
        <v>53.56</v>
      </c>
      <c r="AW40" s="33">
        <v>75</v>
      </c>
      <c r="AX40" s="35">
        <v>54.14</v>
      </c>
      <c r="AY40" s="35"/>
      <c r="AZ40" s="36">
        <v>73</v>
      </c>
      <c r="BA40" s="37">
        <v>55.14</v>
      </c>
      <c r="BB40" s="37"/>
      <c r="BC40" s="33">
        <v>72</v>
      </c>
      <c r="BD40" s="35">
        <v>56.25</v>
      </c>
      <c r="BE40" s="35"/>
      <c r="BF40" s="36">
        <v>84</v>
      </c>
      <c r="BG40" s="37">
        <v>66.663900000000012</v>
      </c>
      <c r="BH40" s="37"/>
      <c r="BI40" s="36">
        <v>83</v>
      </c>
      <c r="BJ40" s="37">
        <v>64.41</v>
      </c>
      <c r="BK40" s="37"/>
      <c r="BL40" s="33">
        <v>78</v>
      </c>
      <c r="BM40" s="79">
        <v>60.772500000000001</v>
      </c>
      <c r="BN40" s="35"/>
      <c r="BO40" s="36">
        <v>64</v>
      </c>
      <c r="BP40" s="37">
        <v>56.142499999999991</v>
      </c>
      <c r="BQ40" s="37"/>
      <c r="BR40" s="33">
        <v>67</v>
      </c>
      <c r="BS40" s="35">
        <v>59.44</v>
      </c>
      <c r="BT40" s="35"/>
      <c r="BU40" s="36">
        <v>68</v>
      </c>
      <c r="BV40" s="37">
        <v>61.790000000000006</v>
      </c>
      <c r="BW40" s="37"/>
    </row>
    <row r="41" spans="1:75" ht="10.9" customHeight="1">
      <c r="A41" s="105"/>
      <c r="B41" s="125" t="s">
        <v>18</v>
      </c>
      <c r="C41" s="125"/>
      <c r="D41" s="12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>
        <v>119</v>
      </c>
      <c r="R41" s="15">
        <v>114.98</v>
      </c>
      <c r="S41" s="15"/>
      <c r="T41" s="15">
        <v>129</v>
      </c>
      <c r="U41" s="15">
        <v>132.22</v>
      </c>
      <c r="V41" s="15"/>
      <c r="W41" s="15">
        <v>127</v>
      </c>
      <c r="X41" s="15">
        <v>124.74</v>
      </c>
      <c r="Y41" s="15"/>
      <c r="Z41" s="15">
        <v>133</v>
      </c>
      <c r="AA41" s="15">
        <v>139.69</v>
      </c>
      <c r="AB41" s="15"/>
      <c r="AC41" s="15">
        <v>186</v>
      </c>
      <c r="AD41" s="15">
        <v>170</v>
      </c>
      <c r="AE41" s="15"/>
      <c r="AF41" s="15">
        <v>169</v>
      </c>
      <c r="AG41" s="15">
        <v>158</v>
      </c>
      <c r="AH41" s="15"/>
      <c r="AI41" s="15">
        <v>180</v>
      </c>
      <c r="AJ41" s="15">
        <v>168</v>
      </c>
      <c r="AK41" s="15"/>
      <c r="AL41" s="15">
        <v>173</v>
      </c>
      <c r="AM41" s="15">
        <v>160.63999999999999</v>
      </c>
      <c r="AN41" s="85"/>
      <c r="AO41" s="15">
        <v>176</v>
      </c>
      <c r="AP41" s="16">
        <v>166.03</v>
      </c>
      <c r="AQ41" s="16"/>
      <c r="AR41" s="15">
        <v>122</v>
      </c>
      <c r="AS41" s="16">
        <v>115.46</v>
      </c>
      <c r="AT41" s="16"/>
      <c r="AU41" s="95">
        <v>134</v>
      </c>
      <c r="AV41" s="96">
        <v>128.33000000000001</v>
      </c>
      <c r="AW41" s="97">
        <v>135</v>
      </c>
      <c r="AX41" s="99">
        <v>131.91999999999999</v>
      </c>
      <c r="AY41" s="99"/>
      <c r="AZ41" s="95">
        <v>145</v>
      </c>
      <c r="BA41" s="96">
        <v>141.13</v>
      </c>
      <c r="BB41" s="96"/>
      <c r="BC41" s="97">
        <v>146</v>
      </c>
      <c r="BD41" s="99">
        <v>140.33359999999999</v>
      </c>
      <c r="BE41" s="99"/>
      <c r="BF41" s="95">
        <v>143</v>
      </c>
      <c r="BG41" s="96">
        <v>138.875</v>
      </c>
      <c r="BH41" s="96"/>
      <c r="BI41" s="95">
        <v>142</v>
      </c>
      <c r="BJ41" s="96">
        <v>137.6</v>
      </c>
      <c r="BK41" s="96"/>
      <c r="BL41" s="97">
        <v>147</v>
      </c>
      <c r="BM41" s="98">
        <v>143.125</v>
      </c>
      <c r="BN41" s="99"/>
      <c r="BO41" s="95">
        <v>146</v>
      </c>
      <c r="BP41" s="96">
        <v>143.30000000000001</v>
      </c>
      <c r="BQ41" s="96"/>
      <c r="BR41" s="97">
        <v>135</v>
      </c>
      <c r="BS41" s="99">
        <v>131.52500000000001</v>
      </c>
      <c r="BT41" s="99"/>
      <c r="BU41" s="95">
        <v>134</v>
      </c>
      <c r="BV41" s="96">
        <v>131.02499999999998</v>
      </c>
      <c r="BW41" s="96"/>
    </row>
    <row r="42" spans="1:75" ht="10.9" customHeight="1">
      <c r="A42" s="105"/>
      <c r="B42" s="125" t="s">
        <v>19</v>
      </c>
      <c r="C42" s="125"/>
      <c r="D42" s="12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>
        <v>3</v>
      </c>
      <c r="R42" s="15">
        <v>0.14000000000000001</v>
      </c>
      <c r="S42" s="15"/>
      <c r="T42" s="15">
        <v>2</v>
      </c>
      <c r="U42" s="15">
        <v>1.1399999999999999</v>
      </c>
      <c r="V42" s="15"/>
      <c r="W42" s="15">
        <v>1</v>
      </c>
      <c r="X42" s="15">
        <v>0.23</v>
      </c>
      <c r="Y42" s="15"/>
      <c r="Z42" s="15">
        <v>1</v>
      </c>
      <c r="AA42" s="15">
        <v>0.65</v>
      </c>
      <c r="AB42" s="15"/>
      <c r="AC42" s="15">
        <v>1</v>
      </c>
      <c r="AD42" s="15">
        <v>0.65</v>
      </c>
      <c r="AE42" s="15"/>
      <c r="AF42" s="15">
        <v>3</v>
      </c>
      <c r="AG42" s="15">
        <v>2</v>
      </c>
      <c r="AH42" s="15"/>
      <c r="AI42" s="15">
        <v>2</v>
      </c>
      <c r="AJ42" s="15">
        <v>1</v>
      </c>
      <c r="AK42" s="15"/>
      <c r="AL42" s="15">
        <v>2</v>
      </c>
      <c r="AM42" s="15">
        <v>0.97</v>
      </c>
      <c r="AN42" s="85"/>
      <c r="AO42" s="15">
        <v>4</v>
      </c>
      <c r="AP42" s="16">
        <v>1.93</v>
      </c>
      <c r="AQ42" s="16"/>
      <c r="AR42" s="15">
        <v>2</v>
      </c>
      <c r="AS42" s="16">
        <v>1.47</v>
      </c>
      <c r="AT42" s="16"/>
      <c r="AU42" s="95">
        <v>0</v>
      </c>
      <c r="AV42" s="96">
        <v>0</v>
      </c>
      <c r="AW42" s="97">
        <v>1</v>
      </c>
      <c r="AX42" s="99">
        <v>0.04</v>
      </c>
      <c r="AY42" s="99"/>
      <c r="AZ42" s="95">
        <v>0</v>
      </c>
      <c r="BA42" s="96">
        <v>0</v>
      </c>
      <c r="BB42" s="96"/>
      <c r="BC42" s="97">
        <v>0</v>
      </c>
      <c r="BD42" s="99">
        <v>0</v>
      </c>
      <c r="BE42" s="99"/>
      <c r="BF42" s="95">
        <v>0</v>
      </c>
      <c r="BG42" s="96">
        <v>0</v>
      </c>
      <c r="BH42" s="96"/>
      <c r="BI42" s="95">
        <v>0</v>
      </c>
      <c r="BJ42" s="96">
        <v>0</v>
      </c>
      <c r="BK42" s="96"/>
      <c r="BL42" s="97">
        <v>2</v>
      </c>
      <c r="BM42" s="98">
        <v>1</v>
      </c>
      <c r="BN42" s="99"/>
      <c r="BO42" s="95">
        <v>1</v>
      </c>
      <c r="BP42" s="96">
        <v>1</v>
      </c>
      <c r="BQ42" s="96"/>
      <c r="BR42" s="97">
        <v>1</v>
      </c>
      <c r="BS42" s="99">
        <v>1</v>
      </c>
      <c r="BT42" s="99"/>
      <c r="BU42" s="95">
        <v>0</v>
      </c>
      <c r="BV42" s="96">
        <v>0</v>
      </c>
      <c r="BW42" s="96"/>
    </row>
    <row r="43" spans="1:75" ht="10.9" customHeight="1">
      <c r="A43" s="105"/>
      <c r="B43" s="125" t="s">
        <v>15</v>
      </c>
      <c r="C43" s="125"/>
      <c r="D43" s="12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>
        <v>49</v>
      </c>
      <c r="R43" s="15">
        <v>74.42</v>
      </c>
      <c r="S43" s="15"/>
      <c r="T43" s="15">
        <v>48</v>
      </c>
      <c r="U43" s="15">
        <v>70.209999999999994</v>
      </c>
      <c r="V43" s="15"/>
      <c r="W43" s="15">
        <v>48</v>
      </c>
      <c r="X43" s="15">
        <v>71.739999999999995</v>
      </c>
      <c r="Y43" s="15"/>
      <c r="Z43" s="15">
        <v>44</v>
      </c>
      <c r="AA43" s="15">
        <v>66.52</v>
      </c>
      <c r="AB43" s="15"/>
      <c r="AC43" s="15">
        <v>68</v>
      </c>
      <c r="AD43" s="15">
        <v>58</v>
      </c>
      <c r="AE43" s="15"/>
      <c r="AF43" s="15">
        <v>59</v>
      </c>
      <c r="AG43" s="15">
        <v>50</v>
      </c>
      <c r="AH43" s="15"/>
      <c r="AI43" s="15">
        <v>59</v>
      </c>
      <c r="AJ43" s="15">
        <v>49</v>
      </c>
      <c r="AK43" s="15"/>
      <c r="AL43" s="15">
        <v>43</v>
      </c>
      <c r="AM43" s="15">
        <v>34.450000000000003</v>
      </c>
      <c r="AN43" s="85"/>
      <c r="AO43" s="15">
        <v>41</v>
      </c>
      <c r="AP43" s="16">
        <v>34.18</v>
      </c>
      <c r="AQ43" s="16"/>
      <c r="AR43" s="15">
        <v>22</v>
      </c>
      <c r="AS43" s="16">
        <v>19.649999999999999</v>
      </c>
      <c r="AT43" s="16"/>
      <c r="AU43" s="95">
        <v>21</v>
      </c>
      <c r="AV43" s="96">
        <v>19.100000000000001</v>
      </c>
      <c r="AW43" s="97">
        <v>20</v>
      </c>
      <c r="AX43" s="99">
        <v>17.72</v>
      </c>
      <c r="AY43" s="99"/>
      <c r="AZ43" s="95">
        <v>21</v>
      </c>
      <c r="BA43" s="96">
        <v>18.73</v>
      </c>
      <c r="BB43" s="96"/>
      <c r="BC43" s="97">
        <v>19</v>
      </c>
      <c r="BD43" s="99">
        <v>17.225000000000001</v>
      </c>
      <c r="BE43" s="99"/>
      <c r="BF43" s="95">
        <v>15</v>
      </c>
      <c r="BG43" s="96">
        <v>13.875</v>
      </c>
      <c r="BH43" s="96"/>
      <c r="BI43" s="95">
        <v>16</v>
      </c>
      <c r="BJ43" s="96">
        <v>14.38</v>
      </c>
      <c r="BK43" s="96"/>
      <c r="BL43" s="97">
        <v>8</v>
      </c>
      <c r="BM43" s="98">
        <v>7.75</v>
      </c>
      <c r="BN43" s="99"/>
      <c r="BO43" s="95">
        <v>8</v>
      </c>
      <c r="BP43" s="96">
        <v>8</v>
      </c>
      <c r="BQ43" s="96"/>
      <c r="BR43" s="97">
        <v>9</v>
      </c>
      <c r="BS43" s="99">
        <v>8.625</v>
      </c>
      <c r="BT43" s="99"/>
      <c r="BU43" s="95">
        <v>9</v>
      </c>
      <c r="BV43" s="96">
        <v>8.75</v>
      </c>
      <c r="BW43" s="96"/>
    </row>
    <row r="44" spans="1:75" ht="10.9" customHeight="1">
      <c r="A44" s="105"/>
      <c r="B44" s="125" t="s">
        <v>21</v>
      </c>
      <c r="C44" s="125"/>
      <c r="D44" s="12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>
        <v>10</v>
      </c>
      <c r="R44" s="15">
        <v>7.87</v>
      </c>
      <c r="S44" s="15"/>
      <c r="T44" s="15">
        <v>8</v>
      </c>
      <c r="U44" s="15">
        <v>6.59</v>
      </c>
      <c r="V44" s="15"/>
      <c r="W44" s="15">
        <v>13</v>
      </c>
      <c r="X44" s="15">
        <v>10.44</v>
      </c>
      <c r="Y44" s="15"/>
      <c r="Z44" s="15">
        <v>11</v>
      </c>
      <c r="AA44" s="15">
        <v>10.19</v>
      </c>
      <c r="AB44" s="15"/>
      <c r="AC44" s="15">
        <v>8</v>
      </c>
      <c r="AD44" s="15">
        <v>5</v>
      </c>
      <c r="AE44" s="15"/>
      <c r="AF44" s="15">
        <v>6</v>
      </c>
      <c r="AG44" s="15">
        <v>5</v>
      </c>
      <c r="AH44" s="15"/>
      <c r="AI44" s="15">
        <v>5</v>
      </c>
      <c r="AJ44" s="15">
        <v>5</v>
      </c>
      <c r="AK44" s="15"/>
      <c r="AL44" s="15">
        <v>5</v>
      </c>
      <c r="AM44" s="15">
        <v>9.1999999999999993</v>
      </c>
      <c r="AN44" s="85"/>
      <c r="AO44" s="15">
        <v>5</v>
      </c>
      <c r="AP44" s="16">
        <v>4.25</v>
      </c>
      <c r="AQ44" s="16"/>
      <c r="AR44" s="15">
        <v>8</v>
      </c>
      <c r="AS44" s="16">
        <v>7.3</v>
      </c>
      <c r="AT44" s="16"/>
      <c r="AU44" s="95">
        <v>7</v>
      </c>
      <c r="AV44" s="96">
        <v>6.75</v>
      </c>
      <c r="AW44" s="97">
        <v>10</v>
      </c>
      <c r="AX44" s="99">
        <v>9.5</v>
      </c>
      <c r="AY44" s="99"/>
      <c r="AZ44" s="95">
        <v>12</v>
      </c>
      <c r="BA44" s="96">
        <v>11.5</v>
      </c>
      <c r="BB44" s="96"/>
      <c r="BC44" s="97">
        <v>12</v>
      </c>
      <c r="BD44" s="99">
        <v>11</v>
      </c>
      <c r="BE44" s="99"/>
      <c r="BF44" s="95">
        <v>6</v>
      </c>
      <c r="BG44" s="96">
        <v>5.25</v>
      </c>
      <c r="BH44" s="96"/>
      <c r="BI44" s="95">
        <v>6</v>
      </c>
      <c r="BJ44" s="96">
        <v>5.75</v>
      </c>
      <c r="BK44" s="96"/>
      <c r="BL44" s="97">
        <v>9</v>
      </c>
      <c r="BM44" s="98">
        <v>7.25</v>
      </c>
      <c r="BN44" s="99"/>
      <c r="BO44" s="95">
        <v>6</v>
      </c>
      <c r="BP44" s="96">
        <v>5.5</v>
      </c>
      <c r="BQ44" s="96"/>
      <c r="BR44" s="97">
        <v>6</v>
      </c>
      <c r="BS44" s="99">
        <v>5.75</v>
      </c>
      <c r="BT44" s="99"/>
      <c r="BU44" s="95">
        <v>6</v>
      </c>
      <c r="BV44" s="96">
        <v>5.75</v>
      </c>
      <c r="BW44" s="96"/>
    </row>
    <row r="45" spans="1:75" ht="10.9" customHeight="1">
      <c r="A45" s="105"/>
      <c r="B45" s="125" t="s">
        <v>20</v>
      </c>
      <c r="C45" s="125"/>
      <c r="D45" s="12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>
        <v>148</v>
      </c>
      <c r="R45" s="15">
        <v>74.16</v>
      </c>
      <c r="S45" s="15"/>
      <c r="T45" s="15">
        <v>132</v>
      </c>
      <c r="U45" s="15">
        <v>69.290000000000006</v>
      </c>
      <c r="V45" s="15"/>
      <c r="W45" s="15">
        <v>155</v>
      </c>
      <c r="X45" s="15">
        <v>75.97</v>
      </c>
      <c r="Y45" s="15"/>
      <c r="Z45" s="15">
        <v>150</v>
      </c>
      <c r="AA45" s="15">
        <v>74.22</v>
      </c>
      <c r="AB45" s="15"/>
      <c r="AC45" s="15">
        <v>179</v>
      </c>
      <c r="AD45" s="15">
        <v>88</v>
      </c>
      <c r="AE45" s="15"/>
      <c r="AF45" s="15">
        <v>166</v>
      </c>
      <c r="AG45" s="15">
        <v>82</v>
      </c>
      <c r="AH45" s="15"/>
      <c r="AI45" s="15">
        <v>171</v>
      </c>
      <c r="AJ45" s="15">
        <v>73</v>
      </c>
      <c r="AK45" s="15"/>
      <c r="AL45" s="15">
        <v>179</v>
      </c>
      <c r="AM45" s="15">
        <v>77.58</v>
      </c>
      <c r="AN45" s="85"/>
      <c r="AO45" s="15">
        <v>265</v>
      </c>
      <c r="AP45" s="16">
        <v>137.41999999999999</v>
      </c>
      <c r="AQ45" s="16"/>
      <c r="AR45" s="15">
        <v>264</v>
      </c>
      <c r="AS45" s="16">
        <v>135.16999999999999</v>
      </c>
      <c r="AT45" s="16"/>
      <c r="AU45" s="95">
        <v>265</v>
      </c>
      <c r="AV45" s="96">
        <v>134.06</v>
      </c>
      <c r="AW45" s="97">
        <v>266</v>
      </c>
      <c r="AX45" s="99">
        <v>138.71</v>
      </c>
      <c r="AY45" s="99"/>
      <c r="AZ45" s="95">
        <v>260</v>
      </c>
      <c r="BA45" s="96">
        <v>135.38</v>
      </c>
      <c r="BB45" s="96"/>
      <c r="BC45" s="97">
        <v>255</v>
      </c>
      <c r="BD45" s="99">
        <v>134.38329999999999</v>
      </c>
      <c r="BE45" s="99"/>
      <c r="BF45" s="95">
        <v>189</v>
      </c>
      <c r="BG45" s="96">
        <v>91.724999999999994</v>
      </c>
      <c r="BH45" s="96"/>
      <c r="BI45" s="95">
        <v>163</v>
      </c>
      <c r="BJ45" s="96">
        <v>78.34</v>
      </c>
      <c r="BK45" s="96"/>
      <c r="BL45" s="97">
        <v>155</v>
      </c>
      <c r="BM45" s="98">
        <v>71</v>
      </c>
      <c r="BN45" s="99"/>
      <c r="BO45" s="95">
        <v>136</v>
      </c>
      <c r="BP45" s="96">
        <v>70.750099999999975</v>
      </c>
      <c r="BQ45" s="96"/>
      <c r="BR45" s="97">
        <v>131</v>
      </c>
      <c r="BS45" s="99">
        <v>56.5</v>
      </c>
      <c r="BT45" s="99"/>
      <c r="BU45" s="95">
        <v>126</v>
      </c>
      <c r="BV45" s="96">
        <v>62.25</v>
      </c>
      <c r="BW45" s="96"/>
    </row>
    <row r="46" spans="1:75" s="6" customFormat="1" ht="15" customHeight="1">
      <c r="A46" s="133" t="s">
        <v>4</v>
      </c>
      <c r="B46" s="133"/>
      <c r="C46" s="133"/>
      <c r="D46" s="133"/>
      <c r="E46" s="24">
        <f t="shared" ref="E46:AM46" si="24">SUM(E47:E53)</f>
        <v>1732</v>
      </c>
      <c r="F46" s="24">
        <f t="shared" si="24"/>
        <v>1117.43</v>
      </c>
      <c r="G46" s="24">
        <f t="shared" si="24"/>
        <v>0</v>
      </c>
      <c r="H46" s="24">
        <f t="shared" si="24"/>
        <v>1752</v>
      </c>
      <c r="I46" s="24">
        <f t="shared" si="24"/>
        <v>1135.6400000000001</v>
      </c>
      <c r="J46" s="24">
        <f t="shared" si="24"/>
        <v>0</v>
      </c>
      <c r="K46" s="24">
        <f t="shared" si="24"/>
        <v>1873</v>
      </c>
      <c r="L46" s="24">
        <f t="shared" si="24"/>
        <v>1182.8800000000001</v>
      </c>
      <c r="M46" s="24">
        <f t="shared" si="24"/>
        <v>0</v>
      </c>
      <c r="N46" s="24">
        <f t="shared" si="24"/>
        <v>1609</v>
      </c>
      <c r="O46" s="24">
        <f t="shared" si="24"/>
        <v>1156.0800000000002</v>
      </c>
      <c r="P46" s="24">
        <f t="shared" si="24"/>
        <v>0</v>
      </c>
      <c r="Q46" s="24">
        <f t="shared" si="24"/>
        <v>1578</v>
      </c>
      <c r="R46" s="24">
        <f t="shared" si="24"/>
        <v>1138.94</v>
      </c>
      <c r="S46" s="24">
        <f t="shared" si="24"/>
        <v>33</v>
      </c>
      <c r="T46" s="24">
        <f t="shared" si="24"/>
        <v>1595</v>
      </c>
      <c r="U46" s="24">
        <f t="shared" si="24"/>
        <v>1146.1300000000001</v>
      </c>
      <c r="V46" s="24">
        <f t="shared" si="24"/>
        <v>33</v>
      </c>
      <c r="W46" s="24">
        <f t="shared" si="24"/>
        <v>1614</v>
      </c>
      <c r="X46" s="24">
        <f t="shared" si="24"/>
        <v>1138.33</v>
      </c>
      <c r="Y46" s="24">
        <f t="shared" si="24"/>
        <v>33</v>
      </c>
      <c r="Z46" s="24">
        <f t="shared" si="24"/>
        <v>1647</v>
      </c>
      <c r="AA46" s="24">
        <f t="shared" si="24"/>
        <v>1167.3700000000001</v>
      </c>
      <c r="AB46" s="24">
        <f t="shared" si="24"/>
        <v>33</v>
      </c>
      <c r="AC46" s="24">
        <f t="shared" si="24"/>
        <v>1692</v>
      </c>
      <c r="AD46" s="24">
        <f t="shared" si="24"/>
        <v>1194</v>
      </c>
      <c r="AE46" s="24">
        <f t="shared" si="24"/>
        <v>33</v>
      </c>
      <c r="AF46" s="24">
        <f t="shared" si="24"/>
        <v>1658</v>
      </c>
      <c r="AG46" s="24">
        <f t="shared" si="24"/>
        <v>1168</v>
      </c>
      <c r="AH46" s="24">
        <f t="shared" si="24"/>
        <v>33</v>
      </c>
      <c r="AI46" s="24">
        <f t="shared" si="24"/>
        <v>1717</v>
      </c>
      <c r="AJ46" s="24">
        <f t="shared" si="24"/>
        <v>1185</v>
      </c>
      <c r="AK46" s="24">
        <f t="shared" si="24"/>
        <v>33</v>
      </c>
      <c r="AL46" s="24">
        <f t="shared" si="24"/>
        <v>1769</v>
      </c>
      <c r="AM46" s="24">
        <f t="shared" si="24"/>
        <v>1208.57</v>
      </c>
      <c r="AN46" s="86"/>
      <c r="AO46" s="24">
        <f t="shared" ref="AO46:AP46" si="25">SUM(AO47:AO53)</f>
        <v>1872</v>
      </c>
      <c r="AP46" s="29">
        <f t="shared" si="25"/>
        <v>1333.77</v>
      </c>
      <c r="AQ46" s="29"/>
      <c r="AR46" s="24">
        <f t="shared" ref="AR46:AS46" si="26">SUM(AR47:AR53)</f>
        <v>1921</v>
      </c>
      <c r="AS46" s="29">
        <f t="shared" si="26"/>
        <v>1365.78</v>
      </c>
      <c r="AT46" s="29"/>
      <c r="AU46" s="44">
        <f t="shared" ref="AU46:AV46" si="27">SUM(AU47:AU53)</f>
        <v>1996</v>
      </c>
      <c r="AV46" s="45">
        <f t="shared" si="27"/>
        <v>1432.76</v>
      </c>
      <c r="AW46" s="46">
        <f t="shared" ref="AW46" si="28">SUM(AW47:AW53)</f>
        <v>2012</v>
      </c>
      <c r="AX46" s="47">
        <f>SUM(AX47:AX53)</f>
        <v>1445.41</v>
      </c>
      <c r="AY46" s="47"/>
      <c r="AZ46" s="44">
        <f>SUM(AZ47:AZ53)</f>
        <v>2062</v>
      </c>
      <c r="BA46" s="45">
        <f>SUM(BA47:BA53)</f>
        <v>1472.6799999999998</v>
      </c>
      <c r="BB46" s="45"/>
      <c r="BC46" s="46">
        <f>SUM(BC47:BC53)</f>
        <v>1987</v>
      </c>
      <c r="BD46" s="47">
        <f>SUM(BD47:BD53)</f>
        <v>1426.4246000000001</v>
      </c>
      <c r="BE46" s="47"/>
      <c r="BF46" s="44">
        <f>SUM(BF47:BF53)</f>
        <v>1912</v>
      </c>
      <c r="BG46" s="45">
        <f>SUM(BG47:BG53)</f>
        <v>1373.4166</v>
      </c>
      <c r="BH46" s="45"/>
      <c r="BI46" s="44">
        <f>SUM(BI47:BI53)</f>
        <v>1873</v>
      </c>
      <c r="BJ46" s="45">
        <f>SUM(BJ47:BJ53)</f>
        <v>1357.8899999999999</v>
      </c>
      <c r="BK46" s="45"/>
      <c r="BL46" s="46">
        <f>SUM(BL47:BL53)</f>
        <v>1891</v>
      </c>
      <c r="BM46" s="87">
        <f>SUM(BM47:BM53)</f>
        <v>1360.6815999999999</v>
      </c>
      <c r="BN46" s="47"/>
      <c r="BO46" s="44">
        <f>SUM(BO47:BO53)</f>
        <v>1793</v>
      </c>
      <c r="BP46" s="45">
        <f>SUM(BP47:BP53)</f>
        <v>1309.5809999999997</v>
      </c>
      <c r="BQ46" s="45"/>
      <c r="BR46" s="46">
        <f>SUM(BR47:BR53)</f>
        <v>1725</v>
      </c>
      <c r="BS46" s="47">
        <f>SUM(BS47:BS53)</f>
        <v>1235.1491000000001</v>
      </c>
      <c r="BT46" s="47"/>
      <c r="BU46" s="44">
        <f>SUM(BU47:BU53)</f>
        <v>1680</v>
      </c>
      <c r="BV46" s="45">
        <f>SUM(BV47:BV53)</f>
        <v>1217.1359999999997</v>
      </c>
      <c r="BW46" s="45"/>
    </row>
    <row r="47" spans="1:75" s="12" customFormat="1" ht="10.9" customHeight="1">
      <c r="A47" s="38"/>
      <c r="B47" s="126" t="s">
        <v>17</v>
      </c>
      <c r="C47" s="126"/>
      <c r="D47" s="126"/>
      <c r="E47" s="17">
        <v>496</v>
      </c>
      <c r="F47" s="17">
        <v>446</v>
      </c>
      <c r="G47" s="17"/>
      <c r="H47" s="17">
        <v>473</v>
      </c>
      <c r="I47" s="17">
        <v>432.64</v>
      </c>
      <c r="J47" s="17"/>
      <c r="K47" s="17">
        <v>486</v>
      </c>
      <c r="L47" s="17">
        <v>438</v>
      </c>
      <c r="M47" s="17"/>
      <c r="N47" s="17">
        <v>478</v>
      </c>
      <c r="O47" s="17">
        <v>436</v>
      </c>
      <c r="P47" s="17"/>
      <c r="Q47" s="17">
        <f>337+141</f>
        <v>478</v>
      </c>
      <c r="R47" s="17">
        <f>303.33+131.57</f>
        <v>434.9</v>
      </c>
      <c r="S47" s="17"/>
      <c r="T47" s="17">
        <f>336+125</f>
        <v>461</v>
      </c>
      <c r="U47" s="17">
        <f>303.08+117.22</f>
        <v>420.29999999999995</v>
      </c>
      <c r="V47" s="17"/>
      <c r="W47" s="17">
        <f>337+109</f>
        <v>446</v>
      </c>
      <c r="X47" s="17">
        <f>299.18+104.64</f>
        <v>403.82</v>
      </c>
      <c r="Y47" s="17"/>
      <c r="Z47" s="17">
        <f>342+117</f>
        <v>459</v>
      </c>
      <c r="AA47" s="17">
        <f>312.54+114.19</f>
        <v>426.73</v>
      </c>
      <c r="AB47" s="17"/>
      <c r="AC47" s="17">
        <v>475</v>
      </c>
      <c r="AD47" s="17">
        <v>443</v>
      </c>
      <c r="AE47" s="17"/>
      <c r="AF47" s="17">
        <v>448</v>
      </c>
      <c r="AG47" s="17">
        <v>421</v>
      </c>
      <c r="AH47" s="17"/>
      <c r="AI47" s="17">
        <v>439</v>
      </c>
      <c r="AJ47" s="17">
        <v>412</v>
      </c>
      <c r="AK47" s="17"/>
      <c r="AL47" s="17">
        <v>449</v>
      </c>
      <c r="AM47" s="17">
        <v>417.12</v>
      </c>
      <c r="AN47" s="22"/>
      <c r="AO47" s="17">
        <v>437</v>
      </c>
      <c r="AP47" s="14">
        <v>430.15</v>
      </c>
      <c r="AQ47" s="14"/>
      <c r="AR47" s="17">
        <v>435</v>
      </c>
      <c r="AS47" s="14">
        <v>431.5</v>
      </c>
      <c r="AT47" s="14"/>
      <c r="AU47" s="36">
        <v>456</v>
      </c>
      <c r="AV47" s="37">
        <v>451.67</v>
      </c>
      <c r="AW47" s="33">
        <f>329+113</f>
        <v>442</v>
      </c>
      <c r="AX47" s="35">
        <f>324.58+113</f>
        <v>437.58</v>
      </c>
      <c r="AY47" s="35"/>
      <c r="AZ47" s="36">
        <v>445</v>
      </c>
      <c r="BA47" s="37">
        <v>440.7</v>
      </c>
      <c r="BB47" s="37"/>
      <c r="BC47" s="33">
        <v>442</v>
      </c>
      <c r="BD47" s="35">
        <v>437.13330000000002</v>
      </c>
      <c r="BE47" s="35"/>
      <c r="BF47" s="36">
        <v>438</v>
      </c>
      <c r="BG47" s="37">
        <v>434.815</v>
      </c>
      <c r="BH47" s="37"/>
      <c r="BI47" s="95">
        <v>437</v>
      </c>
      <c r="BJ47" s="96">
        <v>433.75</v>
      </c>
      <c r="BK47" s="96"/>
      <c r="BL47" s="97">
        <v>420</v>
      </c>
      <c r="BM47" s="98">
        <v>417.47500000000002</v>
      </c>
      <c r="BN47" s="99"/>
      <c r="BO47" s="95">
        <v>391</v>
      </c>
      <c r="BP47" s="96">
        <v>387.59999999999997</v>
      </c>
      <c r="BQ47" s="96"/>
      <c r="BR47" s="97">
        <v>363</v>
      </c>
      <c r="BS47" s="99">
        <v>360.95000000000005</v>
      </c>
      <c r="BT47" s="99"/>
      <c r="BU47" s="95">
        <v>353</v>
      </c>
      <c r="BV47" s="96">
        <v>350.4</v>
      </c>
      <c r="BW47" s="37"/>
    </row>
    <row r="48" spans="1:75" s="12" customFormat="1" ht="12" customHeight="1">
      <c r="A48" s="38"/>
      <c r="B48" s="128" t="s">
        <v>38</v>
      </c>
      <c r="C48" s="128"/>
      <c r="D48" s="128"/>
      <c r="E48" s="17">
        <v>160</v>
      </c>
      <c r="F48" s="17">
        <v>117</v>
      </c>
      <c r="G48" s="17"/>
      <c r="H48" s="17">
        <v>176</v>
      </c>
      <c r="I48" s="17">
        <v>136.36000000000001</v>
      </c>
      <c r="J48" s="17"/>
      <c r="K48" s="17">
        <v>178</v>
      </c>
      <c r="L48" s="17">
        <v>132</v>
      </c>
      <c r="M48" s="17"/>
      <c r="N48" s="17">
        <v>150</v>
      </c>
      <c r="O48" s="17">
        <v>110</v>
      </c>
      <c r="P48" s="17"/>
      <c r="Q48" s="17">
        <f>637-337-141</f>
        <v>159</v>
      </c>
      <c r="R48" s="17">
        <f>553.5-303.33-131.57</f>
        <v>118.60000000000002</v>
      </c>
      <c r="S48" s="17"/>
      <c r="T48" s="17">
        <f>620-336-125</f>
        <v>159</v>
      </c>
      <c r="U48" s="17">
        <f>543.67-303.08-117.22</f>
        <v>123.36999999999998</v>
      </c>
      <c r="V48" s="17"/>
      <c r="W48" s="17">
        <f>610-W47</f>
        <v>164</v>
      </c>
      <c r="X48" s="17">
        <f>523.47-X47</f>
        <v>119.65000000000003</v>
      </c>
      <c r="Y48" s="17"/>
      <c r="Z48" s="17">
        <f>626-Z47</f>
        <v>167</v>
      </c>
      <c r="AA48" s="17">
        <f>550.61-AA47</f>
        <v>123.88</v>
      </c>
      <c r="AB48" s="17"/>
      <c r="AC48" s="17">
        <v>152</v>
      </c>
      <c r="AD48" s="17">
        <v>111</v>
      </c>
      <c r="AE48" s="17"/>
      <c r="AF48" s="17">
        <v>170</v>
      </c>
      <c r="AG48" s="17">
        <v>116</v>
      </c>
      <c r="AH48" s="17"/>
      <c r="AI48" s="17">
        <v>189</v>
      </c>
      <c r="AJ48" s="17">
        <v>134</v>
      </c>
      <c r="AK48" s="17"/>
      <c r="AL48" s="17">
        <v>207</v>
      </c>
      <c r="AM48" s="17">
        <v>144.66</v>
      </c>
      <c r="AN48" s="22"/>
      <c r="AO48" s="17">
        <v>221</v>
      </c>
      <c r="AP48" s="14">
        <v>163.94</v>
      </c>
      <c r="AQ48" s="14"/>
      <c r="AR48" s="17">
        <v>233</v>
      </c>
      <c r="AS48" s="14">
        <v>179.46</v>
      </c>
      <c r="AT48" s="14"/>
      <c r="AU48" s="36">
        <v>235</v>
      </c>
      <c r="AV48" s="37">
        <v>184.67</v>
      </c>
      <c r="AW48" s="33">
        <v>244</v>
      </c>
      <c r="AX48" s="35">
        <v>196.15</v>
      </c>
      <c r="AY48" s="35"/>
      <c r="AZ48" s="36">
        <v>242</v>
      </c>
      <c r="BA48" s="37">
        <v>191.76</v>
      </c>
      <c r="BB48" s="37"/>
      <c r="BC48" s="33">
        <v>228</v>
      </c>
      <c r="BD48" s="35">
        <v>180.17490000000001</v>
      </c>
      <c r="BE48" s="35"/>
      <c r="BF48" s="36">
        <v>229</v>
      </c>
      <c r="BG48" s="37">
        <v>179.02659999999997</v>
      </c>
      <c r="BH48" s="37"/>
      <c r="BI48" s="36">
        <v>210</v>
      </c>
      <c r="BJ48" s="37">
        <v>164.06</v>
      </c>
      <c r="BK48" s="37"/>
      <c r="BL48" s="33">
        <v>200</v>
      </c>
      <c r="BM48" s="79">
        <v>156.5616</v>
      </c>
      <c r="BN48" s="35"/>
      <c r="BO48" s="36">
        <v>205</v>
      </c>
      <c r="BP48" s="37">
        <v>165.15589999999997</v>
      </c>
      <c r="BQ48" s="37"/>
      <c r="BR48" s="33">
        <v>209</v>
      </c>
      <c r="BS48" s="35">
        <v>167.42409999999998</v>
      </c>
      <c r="BT48" s="35"/>
      <c r="BU48" s="36">
        <v>216</v>
      </c>
      <c r="BV48" s="37">
        <v>176.13549999999998</v>
      </c>
      <c r="BW48" s="37"/>
    </row>
    <row r="49" spans="1:75" ht="10.9" customHeight="1">
      <c r="A49" s="105"/>
      <c r="B49" s="126" t="s">
        <v>18</v>
      </c>
      <c r="C49" s="126"/>
      <c r="D49" s="126"/>
      <c r="E49" s="15">
        <v>117</v>
      </c>
      <c r="F49" s="15">
        <v>109.67</v>
      </c>
      <c r="G49" s="15"/>
      <c r="H49" s="15">
        <v>123</v>
      </c>
      <c r="I49" s="15">
        <v>112.84</v>
      </c>
      <c r="J49" s="15"/>
      <c r="K49" s="15">
        <v>129</v>
      </c>
      <c r="L49" s="15">
        <v>120.2</v>
      </c>
      <c r="M49" s="15"/>
      <c r="N49" s="15">
        <v>128</v>
      </c>
      <c r="O49" s="15">
        <v>117.68</v>
      </c>
      <c r="P49" s="15"/>
      <c r="Q49" s="15">
        <v>131</v>
      </c>
      <c r="R49" s="15">
        <v>122.73</v>
      </c>
      <c r="S49" s="15"/>
      <c r="T49" s="15">
        <v>133</v>
      </c>
      <c r="U49" s="15">
        <v>123.23</v>
      </c>
      <c r="V49" s="15"/>
      <c r="W49" s="15">
        <v>137</v>
      </c>
      <c r="X49" s="15">
        <v>126.33</v>
      </c>
      <c r="Y49" s="15"/>
      <c r="Z49" s="15">
        <v>149</v>
      </c>
      <c r="AA49" s="15">
        <v>134.91</v>
      </c>
      <c r="AB49" s="15"/>
      <c r="AC49" s="15">
        <v>157</v>
      </c>
      <c r="AD49" s="15">
        <v>141</v>
      </c>
      <c r="AE49" s="15"/>
      <c r="AF49" s="15">
        <v>147</v>
      </c>
      <c r="AG49" s="15">
        <v>136</v>
      </c>
      <c r="AH49" s="15"/>
      <c r="AI49" s="15">
        <v>150</v>
      </c>
      <c r="AJ49" s="15">
        <v>142</v>
      </c>
      <c r="AK49" s="15"/>
      <c r="AL49" s="15">
        <v>158</v>
      </c>
      <c r="AM49" s="15">
        <v>146.51</v>
      </c>
      <c r="AN49" s="106"/>
      <c r="AO49" s="15">
        <v>166</v>
      </c>
      <c r="AP49" s="16">
        <v>160.72999999999999</v>
      </c>
      <c r="AQ49" s="16"/>
      <c r="AR49" s="15">
        <v>176</v>
      </c>
      <c r="AS49" s="16">
        <v>169.17</v>
      </c>
      <c r="AT49" s="16"/>
      <c r="AU49" s="95">
        <v>220</v>
      </c>
      <c r="AV49" s="96">
        <v>211.95</v>
      </c>
      <c r="AW49" s="97">
        <v>222</v>
      </c>
      <c r="AX49" s="99">
        <v>214.66</v>
      </c>
      <c r="AY49" s="99"/>
      <c r="AZ49" s="95">
        <v>228</v>
      </c>
      <c r="BA49" s="96">
        <v>219.56</v>
      </c>
      <c r="BB49" s="96"/>
      <c r="BC49" s="97">
        <v>231</v>
      </c>
      <c r="BD49" s="99">
        <v>222.6831</v>
      </c>
      <c r="BE49" s="99"/>
      <c r="BF49" s="95">
        <v>224</v>
      </c>
      <c r="BG49" s="96">
        <v>219.72499999999999</v>
      </c>
      <c r="BH49" s="96"/>
      <c r="BI49" s="95">
        <v>247</v>
      </c>
      <c r="BJ49" s="96">
        <v>242.33</v>
      </c>
      <c r="BK49" s="96"/>
      <c r="BL49" s="97">
        <v>240</v>
      </c>
      <c r="BM49" s="98">
        <v>236.97499999999999</v>
      </c>
      <c r="BN49" s="99"/>
      <c r="BO49" s="95">
        <v>235</v>
      </c>
      <c r="BP49" s="96">
        <v>230.72499999999999</v>
      </c>
      <c r="BQ49" s="96"/>
      <c r="BR49" s="97">
        <v>226</v>
      </c>
      <c r="BS49" s="99">
        <v>222.39999999999998</v>
      </c>
      <c r="BT49" s="99"/>
      <c r="BU49" s="95">
        <v>215</v>
      </c>
      <c r="BV49" s="96">
        <v>210.8</v>
      </c>
      <c r="BW49" s="96"/>
    </row>
    <row r="50" spans="1:75" ht="10.9" customHeight="1">
      <c r="A50" s="105"/>
      <c r="B50" s="126" t="s">
        <v>19</v>
      </c>
      <c r="C50" s="126"/>
      <c r="D50" s="126"/>
      <c r="E50" s="15">
        <v>0</v>
      </c>
      <c r="F50" s="15">
        <v>0</v>
      </c>
      <c r="G50" s="15"/>
      <c r="H50" s="15">
        <v>0</v>
      </c>
      <c r="I50" s="15">
        <v>0</v>
      </c>
      <c r="J50" s="15"/>
      <c r="K50" s="15">
        <v>1</v>
      </c>
      <c r="L50" s="15">
        <v>0.25</v>
      </c>
      <c r="M50" s="15"/>
      <c r="N50" s="15">
        <v>5</v>
      </c>
      <c r="O50" s="15">
        <v>1.1000000000000001</v>
      </c>
      <c r="P50" s="15"/>
      <c r="Q50" s="15">
        <v>5</v>
      </c>
      <c r="R50" s="15">
        <v>1.83</v>
      </c>
      <c r="S50" s="15"/>
      <c r="T50" s="15">
        <v>7</v>
      </c>
      <c r="U50" s="15">
        <v>3.08</v>
      </c>
      <c r="V50" s="15"/>
      <c r="W50" s="15">
        <v>10</v>
      </c>
      <c r="X50" s="15">
        <v>4.25</v>
      </c>
      <c r="Y50" s="15"/>
      <c r="Z50" s="15">
        <v>9</v>
      </c>
      <c r="AA50" s="15">
        <v>3.38</v>
      </c>
      <c r="AB50" s="15"/>
      <c r="AC50" s="15">
        <v>3</v>
      </c>
      <c r="AD50" s="15">
        <v>1</v>
      </c>
      <c r="AE50" s="15"/>
      <c r="AF50" s="15">
        <v>2</v>
      </c>
      <c r="AG50" s="15">
        <v>1</v>
      </c>
      <c r="AH50" s="15"/>
      <c r="AI50" s="15">
        <v>4</v>
      </c>
      <c r="AJ50" s="15">
        <v>2</v>
      </c>
      <c r="AK50" s="15"/>
      <c r="AL50" s="15">
        <v>4</v>
      </c>
      <c r="AM50" s="15">
        <v>0.75</v>
      </c>
      <c r="AN50" s="106"/>
      <c r="AO50" s="15">
        <v>4</v>
      </c>
      <c r="AP50" s="16">
        <v>0.86</v>
      </c>
      <c r="AQ50" s="16"/>
      <c r="AR50" s="15">
        <v>4</v>
      </c>
      <c r="AS50" s="16">
        <v>0.96</v>
      </c>
      <c r="AT50" s="16"/>
      <c r="AU50" s="95">
        <v>7</v>
      </c>
      <c r="AV50" s="96">
        <v>5.49</v>
      </c>
      <c r="AW50" s="97">
        <v>5</v>
      </c>
      <c r="AX50" s="99">
        <v>2.36</v>
      </c>
      <c r="AY50" s="99"/>
      <c r="AZ50" s="95">
        <v>4</v>
      </c>
      <c r="BA50" s="96">
        <v>2.5499999999999998</v>
      </c>
      <c r="BB50" s="96"/>
      <c r="BC50" s="97">
        <v>1</v>
      </c>
      <c r="BD50" s="99">
        <v>0.25</v>
      </c>
      <c r="BE50" s="99"/>
      <c r="BF50" s="95">
        <v>2</v>
      </c>
      <c r="BG50" s="96">
        <v>1.75</v>
      </c>
      <c r="BH50" s="96"/>
      <c r="BI50" s="95">
        <v>5</v>
      </c>
      <c r="BJ50" s="96">
        <v>4.25</v>
      </c>
      <c r="BK50" s="96"/>
      <c r="BL50" s="97">
        <v>6</v>
      </c>
      <c r="BM50" s="98">
        <v>4.5</v>
      </c>
      <c r="BN50" s="99"/>
      <c r="BO50" s="95">
        <v>4</v>
      </c>
      <c r="BP50" s="96">
        <v>2.6749999999999998</v>
      </c>
      <c r="BQ50" s="96"/>
      <c r="BR50" s="97">
        <v>2</v>
      </c>
      <c r="BS50" s="99">
        <v>1.4500000000000002</v>
      </c>
      <c r="BT50" s="99"/>
      <c r="BU50" s="95">
        <v>1</v>
      </c>
      <c r="BV50" s="96">
        <v>0.65</v>
      </c>
      <c r="BW50" s="96"/>
    </row>
    <row r="51" spans="1:75" s="103" customFormat="1" ht="10.9" customHeight="1">
      <c r="A51" s="107"/>
      <c r="B51" s="126" t="s">
        <v>15</v>
      </c>
      <c r="C51" s="126"/>
      <c r="D51" s="126"/>
      <c r="E51" s="15">
        <v>104</v>
      </c>
      <c r="F51" s="15">
        <v>92.7</v>
      </c>
      <c r="G51" s="15"/>
      <c r="H51" s="15">
        <v>96</v>
      </c>
      <c r="I51" s="15">
        <v>85.23</v>
      </c>
      <c r="J51" s="15"/>
      <c r="K51" s="15">
        <v>96</v>
      </c>
      <c r="L51" s="15">
        <v>87.4</v>
      </c>
      <c r="M51" s="15"/>
      <c r="N51" s="15">
        <v>88</v>
      </c>
      <c r="O51" s="15">
        <v>79.78</v>
      </c>
      <c r="P51" s="15"/>
      <c r="Q51" s="15">
        <v>84</v>
      </c>
      <c r="R51" s="15">
        <v>77.22</v>
      </c>
      <c r="S51" s="15"/>
      <c r="T51" s="15">
        <v>78</v>
      </c>
      <c r="U51" s="15">
        <v>73.459999999999994</v>
      </c>
      <c r="V51" s="15"/>
      <c r="W51" s="15">
        <v>78</v>
      </c>
      <c r="X51" s="15">
        <v>74.36</v>
      </c>
      <c r="Y51" s="15"/>
      <c r="Z51" s="15">
        <v>76</v>
      </c>
      <c r="AA51" s="15">
        <v>71.06</v>
      </c>
      <c r="AB51" s="15"/>
      <c r="AC51" s="15">
        <v>72</v>
      </c>
      <c r="AD51" s="15">
        <v>69</v>
      </c>
      <c r="AE51" s="15"/>
      <c r="AF51" s="15">
        <v>61</v>
      </c>
      <c r="AG51" s="15">
        <v>59</v>
      </c>
      <c r="AH51" s="15"/>
      <c r="AI51" s="15">
        <v>56</v>
      </c>
      <c r="AJ51" s="15">
        <v>53</v>
      </c>
      <c r="AK51" s="15"/>
      <c r="AL51" s="15">
        <v>56</v>
      </c>
      <c r="AM51" s="15">
        <v>52.52</v>
      </c>
      <c r="AN51" s="106"/>
      <c r="AO51" s="15">
        <v>56</v>
      </c>
      <c r="AP51" s="16">
        <v>53.25</v>
      </c>
      <c r="AQ51" s="16"/>
      <c r="AR51" s="15">
        <v>55</v>
      </c>
      <c r="AS51" s="16">
        <v>52.75</v>
      </c>
      <c r="AT51" s="16"/>
      <c r="AU51" s="95">
        <v>55</v>
      </c>
      <c r="AV51" s="96">
        <v>53.17</v>
      </c>
      <c r="AW51" s="97">
        <v>49</v>
      </c>
      <c r="AX51" s="99">
        <v>48.25</v>
      </c>
      <c r="AY51" s="99"/>
      <c r="AZ51" s="95">
        <v>46</v>
      </c>
      <c r="BA51" s="96">
        <v>45.33</v>
      </c>
      <c r="BB51" s="96"/>
      <c r="BC51" s="97">
        <v>43</v>
      </c>
      <c r="BD51" s="99">
        <v>42.666600000000003</v>
      </c>
      <c r="BE51" s="99"/>
      <c r="BF51" s="95">
        <v>36</v>
      </c>
      <c r="BG51" s="96">
        <v>35.5</v>
      </c>
      <c r="BH51" s="96"/>
      <c r="BI51" s="95">
        <v>37</v>
      </c>
      <c r="BJ51" s="96">
        <v>36.5</v>
      </c>
      <c r="BK51" s="96"/>
      <c r="BL51" s="97">
        <v>33</v>
      </c>
      <c r="BM51" s="98">
        <v>32.125</v>
      </c>
      <c r="BN51" s="99"/>
      <c r="BO51" s="95">
        <v>33</v>
      </c>
      <c r="BP51" s="96">
        <v>31.324999999999999</v>
      </c>
      <c r="BQ51" s="96"/>
      <c r="BR51" s="97">
        <v>27</v>
      </c>
      <c r="BS51" s="99">
        <v>25.125</v>
      </c>
      <c r="BT51" s="99"/>
      <c r="BU51" s="95">
        <v>26</v>
      </c>
      <c r="BV51" s="96">
        <v>24.25</v>
      </c>
      <c r="BW51" s="96"/>
    </row>
    <row r="52" spans="1:75" s="2" customFormat="1" ht="10.9" customHeight="1">
      <c r="A52" s="107"/>
      <c r="B52" s="126" t="s">
        <v>21</v>
      </c>
      <c r="C52" s="126"/>
      <c r="D52" s="126"/>
      <c r="E52" s="15">
        <v>48</v>
      </c>
      <c r="F52" s="15">
        <v>42.39</v>
      </c>
      <c r="G52" s="15"/>
      <c r="H52" s="15">
        <v>47</v>
      </c>
      <c r="I52" s="15">
        <v>43.47</v>
      </c>
      <c r="J52" s="15"/>
      <c r="K52" s="15">
        <v>58</v>
      </c>
      <c r="L52" s="15">
        <v>53.1</v>
      </c>
      <c r="M52" s="15"/>
      <c r="N52" s="15">
        <v>64</v>
      </c>
      <c r="O52" s="15">
        <v>60.59</v>
      </c>
      <c r="P52" s="15"/>
      <c r="Q52" s="15">
        <v>57</v>
      </c>
      <c r="R52" s="15">
        <v>49.66</v>
      </c>
      <c r="S52" s="15"/>
      <c r="T52" s="15">
        <v>53</v>
      </c>
      <c r="U52" s="15">
        <v>45.13</v>
      </c>
      <c r="V52" s="15"/>
      <c r="W52" s="15">
        <v>57</v>
      </c>
      <c r="X52" s="15">
        <v>48.68</v>
      </c>
      <c r="Y52" s="15"/>
      <c r="Z52" s="15">
        <v>50</v>
      </c>
      <c r="AA52" s="15">
        <v>41.11</v>
      </c>
      <c r="AB52" s="15"/>
      <c r="AC52" s="15">
        <v>55</v>
      </c>
      <c r="AD52" s="15">
        <v>49</v>
      </c>
      <c r="AE52" s="15"/>
      <c r="AF52" s="15">
        <v>60</v>
      </c>
      <c r="AG52" s="15">
        <v>61</v>
      </c>
      <c r="AH52" s="15"/>
      <c r="AI52" s="15">
        <v>67</v>
      </c>
      <c r="AJ52" s="15">
        <v>57</v>
      </c>
      <c r="AK52" s="15"/>
      <c r="AL52" s="15">
        <v>77</v>
      </c>
      <c r="AM52" s="15">
        <v>67.09</v>
      </c>
      <c r="AN52" s="106"/>
      <c r="AO52" s="15">
        <v>75</v>
      </c>
      <c r="AP52" s="16">
        <v>71.599999999999994</v>
      </c>
      <c r="AQ52" s="16"/>
      <c r="AR52" s="15">
        <v>70</v>
      </c>
      <c r="AS52" s="16">
        <v>67.17</v>
      </c>
      <c r="AT52" s="16"/>
      <c r="AU52" s="95">
        <v>55</v>
      </c>
      <c r="AV52" s="96">
        <v>52.5</v>
      </c>
      <c r="AW52" s="97">
        <v>60</v>
      </c>
      <c r="AX52" s="99">
        <v>58</v>
      </c>
      <c r="AY52" s="99"/>
      <c r="AZ52" s="95">
        <v>69</v>
      </c>
      <c r="BA52" s="96">
        <v>67.5</v>
      </c>
      <c r="BB52" s="96"/>
      <c r="BC52" s="97">
        <v>72</v>
      </c>
      <c r="BD52" s="99">
        <v>67.099999999999994</v>
      </c>
      <c r="BE52" s="99"/>
      <c r="BF52" s="95">
        <v>53</v>
      </c>
      <c r="BG52" s="96">
        <v>52.1</v>
      </c>
      <c r="BH52" s="96"/>
      <c r="BI52" s="95">
        <v>50</v>
      </c>
      <c r="BJ52" s="96">
        <v>50</v>
      </c>
      <c r="BK52" s="96"/>
      <c r="BL52" s="97">
        <v>74</v>
      </c>
      <c r="BM52" s="98">
        <v>72.55</v>
      </c>
      <c r="BN52" s="99"/>
      <c r="BO52" s="95">
        <v>68</v>
      </c>
      <c r="BP52" s="96">
        <v>66.75</v>
      </c>
      <c r="BQ52" s="96"/>
      <c r="BR52" s="97">
        <v>54</v>
      </c>
      <c r="BS52" s="99">
        <v>53.3</v>
      </c>
      <c r="BT52" s="99"/>
      <c r="BU52" s="95">
        <v>50</v>
      </c>
      <c r="BV52" s="96">
        <v>47.5</v>
      </c>
      <c r="BW52" s="96"/>
    </row>
    <row r="53" spans="1:75" s="117" customFormat="1" ht="15" customHeight="1">
      <c r="A53" s="108"/>
      <c r="B53" s="130" t="s">
        <v>20</v>
      </c>
      <c r="C53" s="130"/>
      <c r="D53" s="130"/>
      <c r="E53" s="109">
        <v>807</v>
      </c>
      <c r="F53" s="109">
        <v>309.67</v>
      </c>
      <c r="G53" s="109"/>
      <c r="H53" s="109">
        <v>837</v>
      </c>
      <c r="I53" s="109">
        <v>325.10000000000002</v>
      </c>
      <c r="J53" s="109"/>
      <c r="K53" s="109">
        <v>925</v>
      </c>
      <c r="L53" s="109">
        <v>351.93</v>
      </c>
      <c r="M53" s="109"/>
      <c r="N53" s="109">
        <v>696</v>
      </c>
      <c r="O53" s="109">
        <v>350.93</v>
      </c>
      <c r="P53" s="109"/>
      <c r="Q53" s="109">
        <v>664</v>
      </c>
      <c r="R53" s="109">
        <v>334</v>
      </c>
      <c r="S53" s="109">
        <v>33</v>
      </c>
      <c r="T53" s="109">
        <v>704</v>
      </c>
      <c r="U53" s="109">
        <v>357.56</v>
      </c>
      <c r="V53" s="109">
        <v>33</v>
      </c>
      <c r="W53" s="109">
        <v>722</v>
      </c>
      <c r="X53" s="109">
        <v>361.24</v>
      </c>
      <c r="Y53" s="109">
        <v>33</v>
      </c>
      <c r="Z53" s="109">
        <v>737</v>
      </c>
      <c r="AA53" s="109">
        <v>366.3</v>
      </c>
      <c r="AB53" s="109">
        <v>33</v>
      </c>
      <c r="AC53" s="109">
        <v>778</v>
      </c>
      <c r="AD53" s="109">
        <v>380</v>
      </c>
      <c r="AE53" s="109">
        <v>33</v>
      </c>
      <c r="AF53" s="109">
        <v>770</v>
      </c>
      <c r="AG53" s="109">
        <v>374</v>
      </c>
      <c r="AH53" s="109">
        <v>33</v>
      </c>
      <c r="AI53" s="109">
        <v>812</v>
      </c>
      <c r="AJ53" s="109">
        <v>385</v>
      </c>
      <c r="AK53" s="109">
        <v>33</v>
      </c>
      <c r="AL53" s="109">
        <v>818</v>
      </c>
      <c r="AM53" s="109">
        <v>379.92</v>
      </c>
      <c r="AN53" s="110"/>
      <c r="AO53" s="109">
        <v>913</v>
      </c>
      <c r="AP53" s="111">
        <v>453.24</v>
      </c>
      <c r="AQ53" s="111"/>
      <c r="AR53" s="109">
        <v>948</v>
      </c>
      <c r="AS53" s="111">
        <v>464.77</v>
      </c>
      <c r="AT53" s="111"/>
      <c r="AU53" s="112">
        <v>968</v>
      </c>
      <c r="AV53" s="113">
        <v>473.31</v>
      </c>
      <c r="AW53" s="114">
        <v>990</v>
      </c>
      <c r="AX53" s="115">
        <v>488.41</v>
      </c>
      <c r="AY53" s="115"/>
      <c r="AZ53" s="112">
        <v>1028</v>
      </c>
      <c r="BA53" s="113">
        <v>505.28</v>
      </c>
      <c r="BB53" s="113"/>
      <c r="BC53" s="114">
        <v>970</v>
      </c>
      <c r="BD53" s="115">
        <v>476.41669999999999</v>
      </c>
      <c r="BE53" s="115"/>
      <c r="BF53" s="112">
        <v>930</v>
      </c>
      <c r="BG53" s="113">
        <v>450.5</v>
      </c>
      <c r="BH53" s="113"/>
      <c r="BI53" s="112">
        <v>887</v>
      </c>
      <c r="BJ53" s="113">
        <v>427</v>
      </c>
      <c r="BK53" s="113"/>
      <c r="BL53" s="114">
        <v>918</v>
      </c>
      <c r="BM53" s="116">
        <v>440.495</v>
      </c>
      <c r="BN53" s="115"/>
      <c r="BO53" s="112">
        <v>857</v>
      </c>
      <c r="BP53" s="113">
        <v>425.35009999999988</v>
      </c>
      <c r="BQ53" s="113"/>
      <c r="BR53" s="114">
        <v>844</v>
      </c>
      <c r="BS53" s="115">
        <v>404.5</v>
      </c>
      <c r="BT53" s="115"/>
      <c r="BU53" s="112">
        <v>819</v>
      </c>
      <c r="BV53" s="113">
        <v>407.40049999999991</v>
      </c>
      <c r="BW53" s="113"/>
    </row>
    <row r="54" spans="1:75" s="41" customFormat="1" ht="12" customHeight="1">
      <c r="A54" s="135" t="s">
        <v>31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</row>
    <row r="55" spans="1:75" ht="15" customHeight="1">
      <c r="A55" t="s">
        <v>0</v>
      </c>
    </row>
    <row r="56" spans="1:75" s="1" customFormat="1" ht="21" customHeight="1">
      <c r="A56" s="94" t="s">
        <v>40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F56" s="65"/>
    </row>
    <row r="57" spans="1:75" s="43" customFormat="1" ht="15" customHeight="1">
      <c r="A57" s="129" t="s">
        <v>30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</row>
    <row r="58" spans="1:75" s="53" customFormat="1" ht="13.5">
      <c r="A58" s="51"/>
      <c r="B58" s="51"/>
      <c r="C58" s="51"/>
      <c r="D58" s="51"/>
      <c r="E58" s="52" t="s">
        <v>9</v>
      </c>
      <c r="F58" s="52"/>
      <c r="G58" s="52"/>
      <c r="H58" s="52" t="s">
        <v>10</v>
      </c>
      <c r="I58" s="52"/>
      <c r="J58" s="52"/>
      <c r="K58" s="52" t="s">
        <v>13</v>
      </c>
      <c r="L58" s="52"/>
      <c r="M58" s="52"/>
      <c r="N58" s="52" t="s">
        <v>14</v>
      </c>
      <c r="O58" s="52"/>
      <c r="P58" s="52"/>
      <c r="Q58" s="52" t="s">
        <v>33</v>
      </c>
      <c r="R58" s="52"/>
      <c r="S58" s="52"/>
      <c r="T58" s="52" t="s">
        <v>22</v>
      </c>
      <c r="U58" s="52"/>
      <c r="V58" s="52"/>
      <c r="W58" s="122" t="s">
        <v>23</v>
      </c>
      <c r="X58" s="122"/>
      <c r="Y58" s="52"/>
      <c r="Z58" s="122" t="s">
        <v>25</v>
      </c>
      <c r="AA58" s="122"/>
      <c r="AB58" s="52"/>
      <c r="AC58" s="122" t="s">
        <v>26</v>
      </c>
      <c r="AD58" s="122"/>
      <c r="AE58" s="52"/>
      <c r="AF58" s="122" t="s">
        <v>27</v>
      </c>
      <c r="AG58" s="122"/>
      <c r="AH58" s="52"/>
      <c r="AI58" s="122" t="s">
        <v>28</v>
      </c>
      <c r="AJ58" s="122"/>
      <c r="AK58" s="52"/>
      <c r="AL58" s="122" t="s">
        <v>29</v>
      </c>
      <c r="AM58" s="122"/>
      <c r="AN58" s="52"/>
      <c r="AO58" s="124" t="s">
        <v>34</v>
      </c>
      <c r="AP58" s="122"/>
      <c r="AQ58" s="52"/>
      <c r="AR58" s="134" t="s">
        <v>35</v>
      </c>
      <c r="AS58" s="134"/>
      <c r="AT58" s="134"/>
      <c r="AU58" s="120" t="s">
        <v>49</v>
      </c>
      <c r="AV58" s="120"/>
      <c r="AW58" s="120" t="s">
        <v>45</v>
      </c>
      <c r="AX58" s="120"/>
      <c r="AY58" s="120"/>
      <c r="AZ58" s="121" t="s">
        <v>50</v>
      </c>
      <c r="BA58" s="121"/>
      <c r="BB58" s="121"/>
      <c r="BC58" s="120" t="s">
        <v>47</v>
      </c>
      <c r="BD58" s="120"/>
      <c r="BE58" s="120"/>
      <c r="BF58" s="121" t="s">
        <v>48</v>
      </c>
      <c r="BG58" s="121"/>
      <c r="BH58" s="121"/>
      <c r="BI58" s="119">
        <v>2020</v>
      </c>
      <c r="BJ58" s="119"/>
      <c r="BK58" s="119"/>
      <c r="BL58" s="123">
        <v>2021</v>
      </c>
      <c r="BM58" s="123"/>
      <c r="BN58" s="123"/>
      <c r="BO58" s="119">
        <v>2022</v>
      </c>
      <c r="BP58" s="119"/>
      <c r="BQ58" s="119"/>
      <c r="BR58" s="123">
        <v>2023</v>
      </c>
      <c r="BS58" s="123"/>
      <c r="BT58" s="123"/>
      <c r="BU58" s="119">
        <v>2024</v>
      </c>
      <c r="BV58" s="119"/>
      <c r="BW58" s="119"/>
    </row>
    <row r="59" spans="1:75" s="54" customFormat="1" ht="15" customHeight="1">
      <c r="A59" s="131" t="s">
        <v>16</v>
      </c>
      <c r="B59" s="131"/>
      <c r="C59" s="131"/>
      <c r="D59" s="131"/>
      <c r="E59" s="62" t="s">
        <v>7</v>
      </c>
      <c r="F59" s="62" t="s">
        <v>12</v>
      </c>
      <c r="G59" s="62"/>
      <c r="H59" s="62" t="s">
        <v>8</v>
      </c>
      <c r="I59" s="62" t="s">
        <v>12</v>
      </c>
      <c r="J59" s="62"/>
      <c r="K59" s="62" t="s">
        <v>8</v>
      </c>
      <c r="L59" s="62" t="s">
        <v>12</v>
      </c>
      <c r="M59" s="62"/>
      <c r="N59" s="62" t="s">
        <v>8</v>
      </c>
      <c r="O59" s="62" t="s">
        <v>12</v>
      </c>
      <c r="P59" s="62"/>
      <c r="Q59" s="62" t="s">
        <v>8</v>
      </c>
      <c r="R59" s="62" t="s">
        <v>12</v>
      </c>
      <c r="S59" s="62"/>
      <c r="T59" s="62" t="s">
        <v>8</v>
      </c>
      <c r="U59" s="62" t="s">
        <v>12</v>
      </c>
      <c r="V59" s="62"/>
      <c r="W59" s="62" t="s">
        <v>8</v>
      </c>
      <c r="X59" s="62" t="s">
        <v>12</v>
      </c>
      <c r="Y59" s="62"/>
      <c r="Z59" s="62" t="s">
        <v>8</v>
      </c>
      <c r="AA59" s="62" t="s">
        <v>12</v>
      </c>
      <c r="AB59" s="62"/>
      <c r="AC59" s="62" t="s">
        <v>8</v>
      </c>
      <c r="AD59" s="62" t="s">
        <v>12</v>
      </c>
      <c r="AE59" s="62"/>
      <c r="AF59" s="62" t="s">
        <v>8</v>
      </c>
      <c r="AG59" s="62" t="s">
        <v>12</v>
      </c>
      <c r="AH59" s="62"/>
      <c r="AI59" s="62" t="s">
        <v>8</v>
      </c>
      <c r="AJ59" s="62" t="s">
        <v>12</v>
      </c>
      <c r="AK59" s="62"/>
      <c r="AL59" s="62" t="s">
        <v>8</v>
      </c>
      <c r="AM59" s="62" t="s">
        <v>12</v>
      </c>
      <c r="AN59" s="62"/>
      <c r="AO59" s="62" t="s">
        <v>8</v>
      </c>
      <c r="AP59" s="62" t="s">
        <v>12</v>
      </c>
      <c r="AQ59" s="62"/>
      <c r="AR59" s="62" t="s">
        <v>32</v>
      </c>
      <c r="AS59" s="62" t="s">
        <v>12</v>
      </c>
      <c r="AT59" s="62"/>
      <c r="AU59" s="62" t="s">
        <v>32</v>
      </c>
      <c r="AV59" s="62" t="s">
        <v>12</v>
      </c>
      <c r="AW59" s="62" t="s">
        <v>32</v>
      </c>
      <c r="AX59" s="62" t="s">
        <v>12</v>
      </c>
      <c r="AY59" s="62"/>
      <c r="AZ59" s="63" t="s">
        <v>32</v>
      </c>
      <c r="BA59" s="63" t="s">
        <v>12</v>
      </c>
      <c r="BB59" s="63"/>
      <c r="BC59" s="62" t="s">
        <v>32</v>
      </c>
      <c r="BD59" s="62" t="s">
        <v>12</v>
      </c>
      <c r="BE59" s="62"/>
      <c r="BF59" s="63" t="s">
        <v>32</v>
      </c>
      <c r="BG59" s="63" t="s">
        <v>12</v>
      </c>
      <c r="BH59" s="63"/>
      <c r="BI59" s="63" t="s">
        <v>32</v>
      </c>
      <c r="BJ59" s="63" t="s">
        <v>12</v>
      </c>
      <c r="BK59" s="63"/>
      <c r="BL59" s="62" t="s">
        <v>32</v>
      </c>
      <c r="BM59" s="62" t="s">
        <v>12</v>
      </c>
      <c r="BN59" s="62"/>
      <c r="BO59" s="63" t="s">
        <v>32</v>
      </c>
      <c r="BP59" s="63" t="s">
        <v>12</v>
      </c>
      <c r="BQ59" s="63"/>
      <c r="BR59" s="62" t="s">
        <v>32</v>
      </c>
      <c r="BS59" s="62" t="s">
        <v>12</v>
      </c>
      <c r="BT59" s="62"/>
      <c r="BU59" s="63" t="s">
        <v>32</v>
      </c>
      <c r="BV59" s="63" t="s">
        <v>12</v>
      </c>
      <c r="BW59" s="63"/>
    </row>
    <row r="60" spans="1:75" s="5" customFormat="1" ht="17.25" customHeight="1">
      <c r="A60" s="132" t="s">
        <v>5</v>
      </c>
      <c r="B60" s="132"/>
      <c r="C60" s="132"/>
      <c r="D60" s="132"/>
      <c r="E60" s="24">
        <f t="shared" ref="E60:AM60" si="29">SUM(E61:E67)</f>
        <v>400</v>
      </c>
      <c r="F60" s="24">
        <f t="shared" si="29"/>
        <v>353.32000000000005</v>
      </c>
      <c r="G60" s="24">
        <f t="shared" si="29"/>
        <v>0</v>
      </c>
      <c r="H60" s="24">
        <f t="shared" si="29"/>
        <v>421</v>
      </c>
      <c r="I60" s="24">
        <f t="shared" si="29"/>
        <v>374.23</v>
      </c>
      <c r="J60" s="24">
        <f t="shared" si="29"/>
        <v>0</v>
      </c>
      <c r="K60" s="24">
        <f t="shared" si="29"/>
        <v>440</v>
      </c>
      <c r="L60" s="24">
        <f t="shared" si="29"/>
        <v>385.76</v>
      </c>
      <c r="M60" s="24">
        <f t="shared" si="29"/>
        <v>0</v>
      </c>
      <c r="N60" s="24">
        <f t="shared" si="29"/>
        <v>447</v>
      </c>
      <c r="O60" s="24">
        <f t="shared" si="29"/>
        <v>385.40000000000003</v>
      </c>
      <c r="P60" s="24">
        <f t="shared" si="29"/>
        <v>0</v>
      </c>
      <c r="Q60" s="24">
        <f t="shared" si="29"/>
        <v>465</v>
      </c>
      <c r="R60" s="24">
        <f t="shared" si="29"/>
        <v>404.58</v>
      </c>
      <c r="S60" s="24">
        <f t="shared" si="29"/>
        <v>0</v>
      </c>
      <c r="T60" s="24">
        <f t="shared" si="29"/>
        <v>447</v>
      </c>
      <c r="U60" s="24">
        <f t="shared" si="29"/>
        <v>387.46999999999997</v>
      </c>
      <c r="V60" s="24">
        <f t="shared" si="29"/>
        <v>0</v>
      </c>
      <c r="W60" s="24">
        <f t="shared" si="29"/>
        <v>495</v>
      </c>
      <c r="X60" s="24">
        <f t="shared" si="29"/>
        <v>439.34999999999997</v>
      </c>
      <c r="Y60" s="24">
        <f t="shared" si="29"/>
        <v>0</v>
      </c>
      <c r="Z60" s="24">
        <f t="shared" si="29"/>
        <v>514</v>
      </c>
      <c r="AA60" s="24">
        <f t="shared" si="29"/>
        <v>458.17</v>
      </c>
      <c r="AB60" s="24">
        <f t="shared" si="29"/>
        <v>0</v>
      </c>
      <c r="AC60" s="24">
        <f t="shared" si="29"/>
        <v>507</v>
      </c>
      <c r="AD60" s="24">
        <f t="shared" si="29"/>
        <v>453</v>
      </c>
      <c r="AE60" s="24">
        <f t="shared" si="29"/>
        <v>0</v>
      </c>
      <c r="AF60" s="24">
        <f t="shared" si="29"/>
        <v>507</v>
      </c>
      <c r="AG60" s="24">
        <f t="shared" si="29"/>
        <v>448</v>
      </c>
      <c r="AH60" s="24">
        <f t="shared" si="29"/>
        <v>0</v>
      </c>
      <c r="AI60" s="24">
        <f t="shared" si="29"/>
        <v>501</v>
      </c>
      <c r="AJ60" s="24">
        <f t="shared" si="29"/>
        <v>447</v>
      </c>
      <c r="AK60" s="24">
        <f t="shared" si="29"/>
        <v>0</v>
      </c>
      <c r="AL60" s="24">
        <f t="shared" si="29"/>
        <v>510</v>
      </c>
      <c r="AM60" s="24">
        <f t="shared" si="29"/>
        <v>456.73</v>
      </c>
      <c r="AN60" s="7"/>
      <c r="AO60" s="24">
        <f t="shared" ref="AO60:AP60" si="30">SUM(AO61:AO67)</f>
        <v>529</v>
      </c>
      <c r="AP60" s="29">
        <f t="shared" si="30"/>
        <v>479.28</v>
      </c>
      <c r="AQ60" s="29"/>
      <c r="AR60" s="24">
        <f t="shared" ref="AR60:AS60" si="31">SUM(AR61:AR67)</f>
        <v>536</v>
      </c>
      <c r="AS60" s="29">
        <f t="shared" si="31"/>
        <v>484.13999999999993</v>
      </c>
      <c r="AT60" s="29"/>
      <c r="AU60" s="46">
        <f t="shared" ref="AU60:AV60" si="32">SUM(AU61:AU67)</f>
        <v>576</v>
      </c>
      <c r="AV60" s="47">
        <f t="shared" si="32"/>
        <v>519.42999999999995</v>
      </c>
      <c r="AW60" s="46">
        <f t="shared" ref="AW60:AX60" si="33">SUM(AW61:AW67)</f>
        <v>609</v>
      </c>
      <c r="AX60" s="47">
        <f t="shared" si="33"/>
        <v>550.66999999999996</v>
      </c>
      <c r="AY60" s="47"/>
      <c r="AZ60" s="44">
        <f>SUM(AZ61:AZ67)</f>
        <v>606</v>
      </c>
      <c r="BA60" s="45">
        <f>SUM(BA61:BA67)</f>
        <v>555.25</v>
      </c>
      <c r="BB60" s="45"/>
      <c r="BC60" s="46">
        <f>SUM(BC61:BC67)</f>
        <v>645</v>
      </c>
      <c r="BD60" s="64">
        <f>SUM(BD61:BD67)</f>
        <v>588.95709999999997</v>
      </c>
      <c r="BE60" s="47"/>
      <c r="BF60" s="44">
        <f>SUM(BF61:BF67)</f>
        <v>646</v>
      </c>
      <c r="BG60" s="45">
        <f>SUM(BG61:BG67)</f>
        <v>587.14750000000004</v>
      </c>
      <c r="BH60" s="45"/>
      <c r="BI60" s="44">
        <f>SUM(BI61:BI67)</f>
        <v>691</v>
      </c>
      <c r="BJ60" s="89">
        <f>SUM(BJ61:BJ67)</f>
        <v>629.26</v>
      </c>
      <c r="BK60" s="45"/>
      <c r="BL60" s="46">
        <f>SUM(BL61:BL67)</f>
        <v>682</v>
      </c>
      <c r="BM60" s="80">
        <f>SUM(BM61:BM67)</f>
        <v>617.15750000000003</v>
      </c>
      <c r="BN60" s="76"/>
      <c r="BO60" s="44">
        <f>SUM(BO61:BO67)</f>
        <v>716</v>
      </c>
      <c r="BP60" s="89">
        <f>SUM(BP61:BP67)</f>
        <v>654.38239999999996</v>
      </c>
      <c r="BQ60" s="45"/>
      <c r="BR60" s="46">
        <f>SUM(BR61:BR67)</f>
        <v>723</v>
      </c>
      <c r="BS60" s="64">
        <f>SUM(BS61:BS67)</f>
        <v>668.03</v>
      </c>
      <c r="BT60" s="47"/>
      <c r="BU60" s="44">
        <f>SUM(BU61:BU67)</f>
        <v>707</v>
      </c>
      <c r="BV60" s="89">
        <f>SUM(BV61:BV67)</f>
        <v>650.46749999999997</v>
      </c>
      <c r="BW60" s="45"/>
    </row>
    <row r="61" spans="1:75" s="3" customFormat="1" ht="12" customHeight="1">
      <c r="A61" s="32"/>
      <c r="B61" s="126" t="s">
        <v>17</v>
      </c>
      <c r="C61" s="126"/>
      <c r="D61" s="126"/>
      <c r="E61" s="15">
        <v>92</v>
      </c>
      <c r="F61" s="15">
        <v>88</v>
      </c>
      <c r="G61" s="15"/>
      <c r="H61" s="15">
        <v>95</v>
      </c>
      <c r="I61" s="15">
        <v>91.46</v>
      </c>
      <c r="J61" s="15"/>
      <c r="K61" s="15">
        <v>97</v>
      </c>
      <c r="L61" s="15">
        <v>94</v>
      </c>
      <c r="M61" s="15"/>
      <c r="N61" s="15">
        <v>100</v>
      </c>
      <c r="O61" s="15">
        <v>96</v>
      </c>
      <c r="P61" s="15"/>
      <c r="Q61" s="15">
        <v>100</v>
      </c>
      <c r="R61" s="15">
        <f>28.49+68.73</f>
        <v>97.22</v>
      </c>
      <c r="S61" s="15"/>
      <c r="T61" s="15">
        <f>70+29</f>
        <v>99</v>
      </c>
      <c r="U61" s="15">
        <f>66.22+27.34</f>
        <v>93.56</v>
      </c>
      <c r="V61" s="15"/>
      <c r="W61" s="15">
        <f>75+26</f>
        <v>101</v>
      </c>
      <c r="X61" s="15">
        <f>72.9+25.49</f>
        <v>98.39</v>
      </c>
      <c r="Y61" s="15"/>
      <c r="Z61" s="15">
        <f>70+31</f>
        <v>101</v>
      </c>
      <c r="AA61" s="15">
        <f>67.76+31</f>
        <v>98.76</v>
      </c>
      <c r="AB61" s="15"/>
      <c r="AC61" s="15">
        <v>104</v>
      </c>
      <c r="AD61" s="15">
        <v>100</v>
      </c>
      <c r="AE61" s="15"/>
      <c r="AF61" s="15">
        <v>110</v>
      </c>
      <c r="AG61" s="15">
        <v>105</v>
      </c>
      <c r="AH61" s="15"/>
      <c r="AI61" s="15">
        <v>111</v>
      </c>
      <c r="AJ61" s="15">
        <v>105</v>
      </c>
      <c r="AK61" s="15"/>
      <c r="AL61" s="15">
        <v>111</v>
      </c>
      <c r="AM61" s="15">
        <v>102.44</v>
      </c>
      <c r="AN61" s="127" t="s">
        <v>42</v>
      </c>
      <c r="AO61" s="17">
        <v>110</v>
      </c>
      <c r="AP61" s="14">
        <v>107.48</v>
      </c>
      <c r="AQ61" s="14"/>
      <c r="AR61" s="17">
        <v>104</v>
      </c>
      <c r="AS61" s="14">
        <v>101.42</v>
      </c>
      <c r="AT61" s="14"/>
      <c r="AU61" s="33">
        <v>112</v>
      </c>
      <c r="AV61" s="35">
        <v>109.65</v>
      </c>
      <c r="AW61" s="33">
        <f>79+36</f>
        <v>115</v>
      </c>
      <c r="AX61" s="35">
        <f>75.98+35.67</f>
        <v>111.65</v>
      </c>
      <c r="AY61" s="35"/>
      <c r="AZ61" s="36">
        <v>110</v>
      </c>
      <c r="BA61" s="37">
        <v>106.82</v>
      </c>
      <c r="BB61" s="37"/>
      <c r="BC61" s="33">
        <v>111</v>
      </c>
      <c r="BD61" s="35">
        <v>108.63339999999999</v>
      </c>
      <c r="BE61" s="35"/>
      <c r="BF61" s="36">
        <v>105</v>
      </c>
      <c r="BG61" s="37">
        <v>103.8325</v>
      </c>
      <c r="BH61" s="37"/>
      <c r="BI61" s="36">
        <v>98</v>
      </c>
      <c r="BJ61" s="37">
        <v>96.23</v>
      </c>
      <c r="BK61" s="37"/>
      <c r="BL61" s="33">
        <v>96</v>
      </c>
      <c r="BM61" s="79">
        <v>94.582499999999996</v>
      </c>
      <c r="BN61" s="74"/>
      <c r="BO61" s="36">
        <v>95</v>
      </c>
      <c r="BP61" s="37">
        <v>94.082499999999996</v>
      </c>
      <c r="BQ61" s="37"/>
      <c r="BR61" s="33">
        <v>94</v>
      </c>
      <c r="BS61" s="35">
        <v>92.582499999999996</v>
      </c>
      <c r="BT61" s="35"/>
      <c r="BU61" s="36">
        <v>91</v>
      </c>
      <c r="BV61" s="37">
        <v>88.982500000000002</v>
      </c>
      <c r="BW61" s="37"/>
    </row>
    <row r="62" spans="1:75" s="10" customFormat="1" ht="12" customHeight="1">
      <c r="A62" s="32"/>
      <c r="B62" s="128" t="s">
        <v>38</v>
      </c>
      <c r="C62" s="128"/>
      <c r="D62" s="128"/>
      <c r="E62" s="25">
        <v>34</v>
      </c>
      <c r="F62" s="17">
        <v>28</v>
      </c>
      <c r="G62" s="17"/>
      <c r="H62" s="17">
        <v>37</v>
      </c>
      <c r="I62" s="17">
        <v>31.54</v>
      </c>
      <c r="J62" s="17"/>
      <c r="K62" s="17">
        <v>40</v>
      </c>
      <c r="L62" s="17">
        <v>33</v>
      </c>
      <c r="M62" s="17"/>
      <c r="N62" s="17">
        <v>47</v>
      </c>
      <c r="O62" s="17">
        <v>38</v>
      </c>
      <c r="P62" s="17"/>
      <c r="Q62" s="17">
        <f>155-71-29</f>
        <v>55</v>
      </c>
      <c r="R62" s="17">
        <f>142.26-68.73-28.49</f>
        <v>45.039999999999992</v>
      </c>
      <c r="S62" s="17"/>
      <c r="T62" s="17">
        <f>153-70-29</f>
        <v>54</v>
      </c>
      <c r="U62" s="17">
        <f>138.32-66.22-27.34</f>
        <v>44.759999999999991</v>
      </c>
      <c r="V62" s="17"/>
      <c r="W62" s="17">
        <f>163-W61</f>
        <v>62</v>
      </c>
      <c r="X62" s="17">
        <f>149.69-X61</f>
        <v>51.3</v>
      </c>
      <c r="Y62" s="17"/>
      <c r="Z62" s="17">
        <f>169-Z61</f>
        <v>68</v>
      </c>
      <c r="AA62" s="17">
        <f>156.83-AA61</f>
        <v>58.070000000000007</v>
      </c>
      <c r="AB62" s="17"/>
      <c r="AC62" s="17">
        <v>74</v>
      </c>
      <c r="AD62" s="17">
        <v>65</v>
      </c>
      <c r="AE62" s="17"/>
      <c r="AF62" s="17">
        <v>75</v>
      </c>
      <c r="AG62" s="17">
        <v>66</v>
      </c>
      <c r="AH62" s="17"/>
      <c r="AI62" s="17">
        <v>74</v>
      </c>
      <c r="AJ62" s="17">
        <v>67</v>
      </c>
      <c r="AK62" s="17"/>
      <c r="AL62" s="17">
        <v>73</v>
      </c>
      <c r="AM62" s="17">
        <v>66.180000000000007</v>
      </c>
      <c r="AN62" s="127"/>
      <c r="AO62" s="17">
        <v>76</v>
      </c>
      <c r="AP62" s="14">
        <v>70.25</v>
      </c>
      <c r="AQ62" s="14"/>
      <c r="AR62" s="17">
        <v>76</v>
      </c>
      <c r="AS62" s="14">
        <v>70.400000000000006</v>
      </c>
      <c r="AT62" s="14"/>
      <c r="AU62" s="33">
        <v>73</v>
      </c>
      <c r="AV62" s="35">
        <v>69</v>
      </c>
      <c r="AW62" s="33">
        <v>64</v>
      </c>
      <c r="AX62" s="35">
        <v>59.75</v>
      </c>
      <c r="AY62" s="35"/>
      <c r="AZ62" s="36">
        <v>58</v>
      </c>
      <c r="BA62" s="37">
        <v>54.5</v>
      </c>
      <c r="BB62" s="37"/>
      <c r="BC62" s="33">
        <v>45</v>
      </c>
      <c r="BD62" s="35">
        <v>42.098700000000001</v>
      </c>
      <c r="BE62" s="35"/>
      <c r="BF62" s="36">
        <v>49</v>
      </c>
      <c r="BG62" s="37">
        <v>45.125</v>
      </c>
      <c r="BH62" s="37"/>
      <c r="BI62" s="36">
        <v>50</v>
      </c>
      <c r="BJ62" s="37">
        <v>46.18</v>
      </c>
      <c r="BK62" s="37"/>
      <c r="BL62" s="33">
        <v>52</v>
      </c>
      <c r="BM62" s="79">
        <v>49.3</v>
      </c>
      <c r="BN62" s="74"/>
      <c r="BO62" s="36">
        <v>56</v>
      </c>
      <c r="BP62" s="37">
        <v>53.25</v>
      </c>
      <c r="BQ62" s="37"/>
      <c r="BR62" s="33">
        <v>59</v>
      </c>
      <c r="BS62" s="35">
        <v>56</v>
      </c>
      <c r="BT62" s="35"/>
      <c r="BU62" s="36">
        <v>58</v>
      </c>
      <c r="BV62" s="37">
        <v>55.1</v>
      </c>
      <c r="BW62" s="37"/>
    </row>
    <row r="63" spans="1:75" s="3" customFormat="1" ht="12.4" customHeight="1">
      <c r="A63" s="100"/>
      <c r="B63" s="126" t="s">
        <v>18</v>
      </c>
      <c r="C63" s="126"/>
      <c r="D63" s="126"/>
      <c r="E63" s="15">
        <v>91</v>
      </c>
      <c r="F63" s="15">
        <v>87.03</v>
      </c>
      <c r="G63" s="15"/>
      <c r="H63" s="15">
        <v>102</v>
      </c>
      <c r="I63" s="15">
        <v>94.42</v>
      </c>
      <c r="J63" s="15"/>
      <c r="K63" s="15">
        <v>105</v>
      </c>
      <c r="L63" s="15">
        <v>98.29</v>
      </c>
      <c r="M63" s="15"/>
      <c r="N63" s="15">
        <v>101</v>
      </c>
      <c r="O63" s="15">
        <v>95.3</v>
      </c>
      <c r="P63" s="15"/>
      <c r="Q63" s="15">
        <v>104</v>
      </c>
      <c r="R63" s="15">
        <v>100.37</v>
      </c>
      <c r="S63" s="15"/>
      <c r="T63" s="15">
        <v>107</v>
      </c>
      <c r="U63" s="15">
        <v>101.54</v>
      </c>
      <c r="V63" s="15"/>
      <c r="W63" s="15">
        <v>130</v>
      </c>
      <c r="X63" s="15">
        <v>124.08</v>
      </c>
      <c r="Y63" s="15"/>
      <c r="Z63" s="15">
        <v>135</v>
      </c>
      <c r="AA63" s="15">
        <v>129.04</v>
      </c>
      <c r="AB63" s="15"/>
      <c r="AC63" s="15">
        <v>140</v>
      </c>
      <c r="AD63" s="15">
        <v>133</v>
      </c>
      <c r="AE63" s="15"/>
      <c r="AF63" s="15">
        <v>139</v>
      </c>
      <c r="AG63" s="15">
        <v>133</v>
      </c>
      <c r="AH63" s="15"/>
      <c r="AI63" s="15">
        <v>142</v>
      </c>
      <c r="AJ63" s="15">
        <v>135</v>
      </c>
      <c r="AK63" s="15"/>
      <c r="AL63" s="15">
        <v>153</v>
      </c>
      <c r="AM63" s="15">
        <v>147.68</v>
      </c>
      <c r="AN63" s="127"/>
      <c r="AO63" s="15">
        <v>144</v>
      </c>
      <c r="AP63" s="16">
        <v>140</v>
      </c>
      <c r="AQ63" s="16"/>
      <c r="AR63" s="15">
        <v>151</v>
      </c>
      <c r="AS63" s="16">
        <v>146.97</v>
      </c>
      <c r="AT63" s="16"/>
      <c r="AU63" s="97">
        <v>166</v>
      </c>
      <c r="AV63" s="99">
        <v>159.88</v>
      </c>
      <c r="AW63" s="97">
        <v>183</v>
      </c>
      <c r="AX63" s="99">
        <v>180.12</v>
      </c>
      <c r="AY63" s="99"/>
      <c r="AZ63" s="95">
        <v>196</v>
      </c>
      <c r="BA63" s="96">
        <v>192.68</v>
      </c>
      <c r="BB63" s="96"/>
      <c r="BC63" s="97">
        <v>200</v>
      </c>
      <c r="BD63" s="99">
        <v>196.875</v>
      </c>
      <c r="BE63" s="99"/>
      <c r="BF63" s="95">
        <v>198</v>
      </c>
      <c r="BG63" s="96">
        <v>191.47500000000002</v>
      </c>
      <c r="BH63" s="96"/>
      <c r="BI63" s="95">
        <v>217</v>
      </c>
      <c r="BJ63" s="96">
        <v>211.05</v>
      </c>
      <c r="BK63" s="96"/>
      <c r="BL63" s="97">
        <v>210</v>
      </c>
      <c r="BM63" s="98">
        <v>203.97500000000002</v>
      </c>
      <c r="BN63" s="101"/>
      <c r="BO63" s="95">
        <v>239</v>
      </c>
      <c r="BP63" s="96">
        <v>230.92499999999995</v>
      </c>
      <c r="BQ63" s="96"/>
      <c r="BR63" s="97">
        <v>251</v>
      </c>
      <c r="BS63" s="99">
        <v>244.15999999999997</v>
      </c>
      <c r="BT63" s="99"/>
      <c r="BU63" s="95">
        <v>254</v>
      </c>
      <c r="BV63" s="96">
        <v>245.31</v>
      </c>
      <c r="BW63" s="96"/>
    </row>
    <row r="64" spans="1:75" s="3" customFormat="1" ht="12" customHeight="1">
      <c r="A64" s="100"/>
      <c r="B64" s="126" t="s">
        <v>19</v>
      </c>
      <c r="C64" s="126"/>
      <c r="D64" s="126"/>
      <c r="E64" s="15">
        <v>0</v>
      </c>
      <c r="F64" s="15">
        <v>0</v>
      </c>
      <c r="G64" s="15"/>
      <c r="H64" s="15">
        <v>0</v>
      </c>
      <c r="I64" s="15">
        <v>0</v>
      </c>
      <c r="J64" s="15"/>
      <c r="K64" s="15">
        <v>0</v>
      </c>
      <c r="L64" s="15">
        <v>0</v>
      </c>
      <c r="M64" s="15"/>
      <c r="N64" s="15">
        <v>0</v>
      </c>
      <c r="O64" s="15">
        <v>0</v>
      </c>
      <c r="P64" s="15"/>
      <c r="Q64" s="15">
        <v>1</v>
      </c>
      <c r="R64" s="15">
        <v>0.2</v>
      </c>
      <c r="S64" s="15"/>
      <c r="T64" s="15">
        <v>1</v>
      </c>
      <c r="U64" s="15">
        <v>0.2</v>
      </c>
      <c r="V64" s="15"/>
      <c r="W64" s="15">
        <v>1</v>
      </c>
      <c r="X64" s="15">
        <v>0.11</v>
      </c>
      <c r="Y64" s="15"/>
      <c r="Z64" s="15">
        <v>0</v>
      </c>
      <c r="AA64" s="15">
        <v>0</v>
      </c>
      <c r="AB64" s="15"/>
      <c r="AC64" s="15">
        <v>0</v>
      </c>
      <c r="AD64" s="15">
        <v>0</v>
      </c>
      <c r="AE64" s="15"/>
      <c r="AF64" s="15">
        <v>0</v>
      </c>
      <c r="AG64" s="15">
        <v>0</v>
      </c>
      <c r="AH64" s="15"/>
      <c r="AI64" s="15">
        <v>1</v>
      </c>
      <c r="AJ64" s="15">
        <v>1</v>
      </c>
      <c r="AK64" s="15"/>
      <c r="AL64" s="15">
        <v>1</v>
      </c>
      <c r="AM64" s="15">
        <v>0.5</v>
      </c>
      <c r="AN64" s="127"/>
      <c r="AO64" s="15">
        <v>2</v>
      </c>
      <c r="AP64" s="16">
        <v>2</v>
      </c>
      <c r="AQ64" s="16"/>
      <c r="AR64" s="15">
        <v>1</v>
      </c>
      <c r="AS64" s="16">
        <v>1</v>
      </c>
      <c r="AT64" s="16"/>
      <c r="AU64" s="97">
        <v>1</v>
      </c>
      <c r="AV64" s="99">
        <v>0.2</v>
      </c>
      <c r="AW64" s="97">
        <v>2</v>
      </c>
      <c r="AX64" s="99">
        <v>1.2</v>
      </c>
      <c r="AY64" s="99"/>
      <c r="AZ64" s="95">
        <v>3</v>
      </c>
      <c r="BA64" s="96">
        <v>2.2000000000000002</v>
      </c>
      <c r="BB64" s="96"/>
      <c r="BC64" s="97">
        <v>2</v>
      </c>
      <c r="BD64" s="99">
        <v>2</v>
      </c>
      <c r="BE64" s="99"/>
      <c r="BF64" s="95">
        <v>2</v>
      </c>
      <c r="BG64" s="96">
        <v>0.61499999999999999</v>
      </c>
      <c r="BH64" s="96"/>
      <c r="BI64" s="95">
        <v>1</v>
      </c>
      <c r="BJ64" s="96">
        <v>0.42</v>
      </c>
      <c r="BK64" s="96"/>
      <c r="BL64" s="97">
        <v>0</v>
      </c>
      <c r="BM64" s="98">
        <v>0</v>
      </c>
      <c r="BN64" s="101"/>
      <c r="BO64" s="95">
        <v>0</v>
      </c>
      <c r="BP64" s="96">
        <v>0</v>
      </c>
      <c r="BQ64" s="96"/>
      <c r="BR64" s="97">
        <v>0</v>
      </c>
      <c r="BS64" s="99">
        <v>0</v>
      </c>
      <c r="BT64" s="99"/>
      <c r="BU64" s="95">
        <v>0</v>
      </c>
      <c r="BV64" s="96">
        <v>0</v>
      </c>
      <c r="BW64" s="96"/>
    </row>
    <row r="65" spans="1:75" ht="12.4" customHeight="1">
      <c r="A65" s="100"/>
      <c r="B65" s="126" t="s">
        <v>15</v>
      </c>
      <c r="C65" s="126"/>
      <c r="D65" s="126"/>
      <c r="E65" s="15">
        <v>124</v>
      </c>
      <c r="F65" s="15">
        <v>122.31</v>
      </c>
      <c r="G65" s="15"/>
      <c r="H65" s="15">
        <v>120</v>
      </c>
      <c r="I65" s="15">
        <v>117.57</v>
      </c>
      <c r="J65" s="15"/>
      <c r="K65" s="15">
        <v>118</v>
      </c>
      <c r="L65" s="15">
        <v>110.77</v>
      </c>
      <c r="M65" s="15"/>
      <c r="N65" s="15">
        <v>112</v>
      </c>
      <c r="O65" s="15">
        <v>106.3</v>
      </c>
      <c r="P65" s="15"/>
      <c r="Q65" s="15">
        <v>117</v>
      </c>
      <c r="R65" s="15">
        <v>111.69</v>
      </c>
      <c r="S65" s="15"/>
      <c r="T65" s="15">
        <v>119</v>
      </c>
      <c r="U65" s="15">
        <v>112.85</v>
      </c>
      <c r="V65" s="15"/>
      <c r="W65" s="15">
        <v>129</v>
      </c>
      <c r="X65" s="15">
        <v>122.98</v>
      </c>
      <c r="Y65" s="15"/>
      <c r="Z65" s="15">
        <v>133</v>
      </c>
      <c r="AA65" s="15">
        <v>126.98</v>
      </c>
      <c r="AB65" s="15"/>
      <c r="AC65" s="15">
        <v>121</v>
      </c>
      <c r="AD65" s="15">
        <v>117</v>
      </c>
      <c r="AE65" s="15"/>
      <c r="AF65" s="15">
        <v>109</v>
      </c>
      <c r="AG65" s="15">
        <v>104</v>
      </c>
      <c r="AH65" s="15"/>
      <c r="AI65" s="15">
        <v>99</v>
      </c>
      <c r="AJ65" s="15">
        <v>97</v>
      </c>
      <c r="AK65" s="15"/>
      <c r="AL65" s="15">
        <v>96</v>
      </c>
      <c r="AM65" s="15">
        <v>93.16</v>
      </c>
      <c r="AN65" s="127"/>
      <c r="AO65" s="15">
        <v>105</v>
      </c>
      <c r="AP65" s="16">
        <v>97.65</v>
      </c>
      <c r="AQ65" s="16"/>
      <c r="AR65" s="15">
        <v>112</v>
      </c>
      <c r="AS65" s="16">
        <v>103.95</v>
      </c>
      <c r="AT65" s="16"/>
      <c r="AU65" s="97">
        <v>116</v>
      </c>
      <c r="AV65" s="99">
        <v>109.45</v>
      </c>
      <c r="AW65" s="97">
        <v>120</v>
      </c>
      <c r="AX65" s="99">
        <v>112.1</v>
      </c>
      <c r="AY65" s="99"/>
      <c r="AZ65" s="95">
        <v>115</v>
      </c>
      <c r="BA65" s="96">
        <v>109.4</v>
      </c>
      <c r="BB65" s="96"/>
      <c r="BC65" s="97">
        <v>122</v>
      </c>
      <c r="BD65" s="99">
        <v>117.35</v>
      </c>
      <c r="BE65" s="99"/>
      <c r="BF65" s="95">
        <v>144</v>
      </c>
      <c r="BG65" s="96">
        <v>138.125</v>
      </c>
      <c r="BH65" s="96"/>
      <c r="BI65" s="95">
        <v>166</v>
      </c>
      <c r="BJ65" s="96">
        <v>160.72999999999999</v>
      </c>
      <c r="BK65" s="96"/>
      <c r="BL65" s="97">
        <v>158</v>
      </c>
      <c r="BM65" s="98">
        <v>153.57499999999999</v>
      </c>
      <c r="BN65" s="101"/>
      <c r="BO65" s="95">
        <v>164</v>
      </c>
      <c r="BP65" s="96">
        <v>159.57499999999999</v>
      </c>
      <c r="BQ65" s="96"/>
      <c r="BR65" s="97">
        <v>165</v>
      </c>
      <c r="BS65" s="99">
        <v>158.53750000000002</v>
      </c>
      <c r="BT65" s="99"/>
      <c r="BU65" s="95">
        <v>150</v>
      </c>
      <c r="BV65" s="96">
        <v>144.32499999999999</v>
      </c>
      <c r="BW65" s="96"/>
    </row>
    <row r="66" spans="1:75" ht="12.4" customHeight="1">
      <c r="A66" s="100"/>
      <c r="B66" s="126" t="s">
        <v>21</v>
      </c>
      <c r="C66" s="126"/>
      <c r="D66" s="126"/>
      <c r="E66" s="15">
        <v>6</v>
      </c>
      <c r="F66" s="15">
        <v>5.7</v>
      </c>
      <c r="G66" s="15"/>
      <c r="H66" s="15">
        <v>14</v>
      </c>
      <c r="I66" s="15">
        <v>13.87</v>
      </c>
      <c r="J66" s="15"/>
      <c r="K66" s="15">
        <v>20</v>
      </c>
      <c r="L66" s="15">
        <v>19.57</v>
      </c>
      <c r="M66" s="15"/>
      <c r="N66" s="15">
        <v>18</v>
      </c>
      <c r="O66" s="15">
        <v>16.37</v>
      </c>
      <c r="P66" s="15"/>
      <c r="Q66" s="15">
        <v>22</v>
      </c>
      <c r="R66" s="15">
        <v>18.37</v>
      </c>
      <c r="S66" s="15"/>
      <c r="T66" s="15">
        <v>13</v>
      </c>
      <c r="U66" s="15">
        <v>9.5</v>
      </c>
      <c r="V66" s="15"/>
      <c r="W66" s="15">
        <v>14</v>
      </c>
      <c r="X66" s="15">
        <v>13.15</v>
      </c>
      <c r="Y66" s="15"/>
      <c r="Z66" s="15">
        <v>17</v>
      </c>
      <c r="AA66" s="15">
        <v>15</v>
      </c>
      <c r="AB66" s="15"/>
      <c r="AC66" s="15">
        <v>12</v>
      </c>
      <c r="AD66" s="15">
        <v>11</v>
      </c>
      <c r="AE66" s="15"/>
      <c r="AF66" s="15">
        <v>14</v>
      </c>
      <c r="AG66" s="15">
        <v>13</v>
      </c>
      <c r="AH66" s="15"/>
      <c r="AI66" s="15">
        <v>18</v>
      </c>
      <c r="AJ66" s="15">
        <v>16</v>
      </c>
      <c r="AK66" s="15"/>
      <c r="AL66" s="15">
        <v>27</v>
      </c>
      <c r="AM66" s="15">
        <v>22.93</v>
      </c>
      <c r="AN66" s="127"/>
      <c r="AO66" s="15">
        <v>35</v>
      </c>
      <c r="AP66" s="16">
        <v>33.65</v>
      </c>
      <c r="AQ66" s="16"/>
      <c r="AR66" s="15">
        <v>32</v>
      </c>
      <c r="AS66" s="16">
        <v>30.4</v>
      </c>
      <c r="AT66" s="16"/>
      <c r="AU66" s="97">
        <v>36</v>
      </c>
      <c r="AV66" s="99">
        <v>33.75</v>
      </c>
      <c r="AW66" s="97">
        <v>48</v>
      </c>
      <c r="AX66" s="99">
        <v>46.35</v>
      </c>
      <c r="AY66" s="99"/>
      <c r="AZ66" s="95">
        <v>58</v>
      </c>
      <c r="BA66" s="96">
        <v>56.9</v>
      </c>
      <c r="BB66" s="96"/>
      <c r="BC66" s="97">
        <v>82</v>
      </c>
      <c r="BD66" s="99">
        <v>81.5</v>
      </c>
      <c r="BE66" s="99"/>
      <c r="BF66" s="95">
        <v>72</v>
      </c>
      <c r="BG66" s="96">
        <v>70.974999999999994</v>
      </c>
      <c r="BH66" s="96"/>
      <c r="BI66" s="95">
        <v>74</v>
      </c>
      <c r="BJ66" s="96">
        <v>72.650000000000006</v>
      </c>
      <c r="BK66" s="96"/>
      <c r="BL66" s="97">
        <v>68</v>
      </c>
      <c r="BM66" s="98">
        <v>67.474999999999994</v>
      </c>
      <c r="BN66" s="101"/>
      <c r="BO66" s="95">
        <v>72</v>
      </c>
      <c r="BP66" s="96">
        <v>71.8</v>
      </c>
      <c r="BQ66" s="96"/>
      <c r="BR66" s="97">
        <v>81</v>
      </c>
      <c r="BS66" s="99">
        <v>80.5</v>
      </c>
      <c r="BT66" s="99"/>
      <c r="BU66" s="95">
        <v>78</v>
      </c>
      <c r="BV66" s="96">
        <v>78</v>
      </c>
      <c r="BW66" s="96"/>
    </row>
    <row r="67" spans="1:75" ht="12.4" customHeight="1">
      <c r="A67" s="100"/>
      <c r="B67" s="126" t="s">
        <v>20</v>
      </c>
      <c r="C67" s="126"/>
      <c r="D67" s="126"/>
      <c r="E67" s="15">
        <v>53</v>
      </c>
      <c r="F67" s="15">
        <v>22.28</v>
      </c>
      <c r="G67" s="15"/>
      <c r="H67" s="15">
        <v>53</v>
      </c>
      <c r="I67" s="15">
        <v>25.37</v>
      </c>
      <c r="J67" s="15"/>
      <c r="K67" s="15">
        <v>60</v>
      </c>
      <c r="L67" s="15">
        <v>30.13</v>
      </c>
      <c r="M67" s="15"/>
      <c r="N67" s="15">
        <v>69</v>
      </c>
      <c r="O67" s="15">
        <v>33.43</v>
      </c>
      <c r="P67" s="15"/>
      <c r="Q67" s="15">
        <v>66</v>
      </c>
      <c r="R67" s="15">
        <v>31.69</v>
      </c>
      <c r="S67" s="15"/>
      <c r="T67" s="15">
        <v>54</v>
      </c>
      <c r="U67" s="15">
        <v>25.06</v>
      </c>
      <c r="V67" s="15"/>
      <c r="W67" s="15">
        <v>58</v>
      </c>
      <c r="X67" s="15">
        <v>29.34</v>
      </c>
      <c r="Y67" s="15"/>
      <c r="Z67" s="15">
        <v>60</v>
      </c>
      <c r="AA67" s="15">
        <v>30.32</v>
      </c>
      <c r="AB67" s="15"/>
      <c r="AC67" s="15">
        <v>56</v>
      </c>
      <c r="AD67" s="15">
        <v>27</v>
      </c>
      <c r="AE67" s="15"/>
      <c r="AF67" s="15">
        <v>60</v>
      </c>
      <c r="AG67" s="15">
        <v>27</v>
      </c>
      <c r="AH67" s="15"/>
      <c r="AI67" s="15">
        <v>56</v>
      </c>
      <c r="AJ67" s="15">
        <v>26</v>
      </c>
      <c r="AK67" s="15"/>
      <c r="AL67" s="15">
        <v>49</v>
      </c>
      <c r="AM67" s="15">
        <v>23.84</v>
      </c>
      <c r="AN67" s="127"/>
      <c r="AO67" s="15">
        <v>57</v>
      </c>
      <c r="AP67" s="16">
        <v>28.25</v>
      </c>
      <c r="AQ67" s="16"/>
      <c r="AR67" s="15">
        <v>60</v>
      </c>
      <c r="AS67" s="16">
        <v>30</v>
      </c>
      <c r="AT67" s="16"/>
      <c r="AU67" s="97">
        <v>72</v>
      </c>
      <c r="AV67" s="99">
        <v>37.5</v>
      </c>
      <c r="AW67" s="97">
        <v>77</v>
      </c>
      <c r="AX67" s="99">
        <v>39.5</v>
      </c>
      <c r="AY67" s="99"/>
      <c r="AZ67" s="95">
        <v>66</v>
      </c>
      <c r="BA67" s="96">
        <v>32.75</v>
      </c>
      <c r="BB67" s="96"/>
      <c r="BC67" s="97">
        <v>83</v>
      </c>
      <c r="BD67" s="99">
        <v>40.5</v>
      </c>
      <c r="BE67" s="99"/>
      <c r="BF67" s="95">
        <v>76</v>
      </c>
      <c r="BG67" s="96">
        <v>37</v>
      </c>
      <c r="BH67" s="96"/>
      <c r="BI67" s="95">
        <v>85</v>
      </c>
      <c r="BJ67" s="96">
        <v>42</v>
      </c>
      <c r="BK67" s="96"/>
      <c r="BL67" s="97">
        <v>98</v>
      </c>
      <c r="BM67" s="98">
        <v>48.25</v>
      </c>
      <c r="BN67" s="101"/>
      <c r="BO67" s="95">
        <v>90</v>
      </c>
      <c r="BP67" s="96">
        <v>44.749899999999982</v>
      </c>
      <c r="BQ67" s="96"/>
      <c r="BR67" s="97">
        <v>73</v>
      </c>
      <c r="BS67" s="99">
        <v>36.25</v>
      </c>
      <c r="BT67" s="99"/>
      <c r="BU67" s="95">
        <v>76</v>
      </c>
      <c r="BV67" s="96">
        <v>38.75</v>
      </c>
      <c r="BW67" s="96"/>
    </row>
    <row r="68" spans="1:75" s="6" customFormat="1" ht="16.149999999999999" customHeight="1">
      <c r="A68" s="133" t="s">
        <v>6</v>
      </c>
      <c r="B68" s="133"/>
      <c r="C68" s="133"/>
      <c r="D68" s="133"/>
      <c r="E68" s="24">
        <f t="shared" ref="E68:AM68" si="34">SUM(E69:E75)</f>
        <v>147</v>
      </c>
      <c r="F68" s="24">
        <f t="shared" si="34"/>
        <v>141.19999999999999</v>
      </c>
      <c r="G68" s="24">
        <f t="shared" si="34"/>
        <v>0</v>
      </c>
      <c r="H68" s="24">
        <f t="shared" si="34"/>
        <v>140</v>
      </c>
      <c r="I68" s="24">
        <f t="shared" si="34"/>
        <v>137.41</v>
      </c>
      <c r="J68" s="24">
        <f t="shared" si="34"/>
        <v>0</v>
      </c>
      <c r="K68" s="24">
        <f t="shared" si="34"/>
        <v>140</v>
      </c>
      <c r="L68" s="24">
        <f t="shared" si="34"/>
        <v>139.27000000000001</v>
      </c>
      <c r="M68" s="24">
        <f t="shared" si="34"/>
        <v>0</v>
      </c>
      <c r="N68" s="24">
        <f t="shared" si="34"/>
        <v>143</v>
      </c>
      <c r="O68" s="24">
        <f t="shared" si="34"/>
        <v>135.69999999999999</v>
      </c>
      <c r="P68" s="24">
        <f t="shared" si="34"/>
        <v>0</v>
      </c>
      <c r="Q68" s="24">
        <f t="shared" si="34"/>
        <v>142</v>
      </c>
      <c r="R68" s="24">
        <f t="shared" si="34"/>
        <v>135.04000000000002</v>
      </c>
      <c r="S68" s="24">
        <f t="shared" si="34"/>
        <v>0</v>
      </c>
      <c r="T68" s="24">
        <f t="shared" si="34"/>
        <v>141</v>
      </c>
      <c r="U68" s="24">
        <f t="shared" si="34"/>
        <v>134.56</v>
      </c>
      <c r="V68" s="24">
        <f t="shared" si="34"/>
        <v>0</v>
      </c>
      <c r="W68" s="24">
        <f t="shared" si="34"/>
        <v>144</v>
      </c>
      <c r="X68" s="24">
        <f t="shared" si="34"/>
        <v>135.25</v>
      </c>
      <c r="Y68" s="24">
        <f t="shared" si="34"/>
        <v>0</v>
      </c>
      <c r="Z68" s="24">
        <f t="shared" si="34"/>
        <v>139</v>
      </c>
      <c r="AA68" s="24">
        <f t="shared" si="34"/>
        <v>133.53</v>
      </c>
      <c r="AB68" s="24">
        <f t="shared" si="34"/>
        <v>0</v>
      </c>
      <c r="AC68" s="24">
        <f t="shared" si="34"/>
        <v>137</v>
      </c>
      <c r="AD68" s="24">
        <f t="shared" si="34"/>
        <v>130.9</v>
      </c>
      <c r="AE68" s="24">
        <f t="shared" si="34"/>
        <v>0</v>
      </c>
      <c r="AF68" s="24">
        <f t="shared" si="34"/>
        <v>128</v>
      </c>
      <c r="AG68" s="24">
        <f t="shared" si="34"/>
        <v>124</v>
      </c>
      <c r="AH68" s="24">
        <f t="shared" si="34"/>
        <v>0</v>
      </c>
      <c r="AI68" s="24">
        <f t="shared" si="34"/>
        <v>120</v>
      </c>
      <c r="AJ68" s="24">
        <f t="shared" si="34"/>
        <v>117</v>
      </c>
      <c r="AK68" s="24">
        <f t="shared" si="34"/>
        <v>0</v>
      </c>
      <c r="AL68" s="24">
        <f t="shared" si="34"/>
        <v>120</v>
      </c>
      <c r="AM68" s="24">
        <f t="shared" si="34"/>
        <v>116</v>
      </c>
      <c r="AN68" s="127"/>
      <c r="AO68" s="24">
        <f t="shared" ref="AO68:AP68" si="35">SUM(AO69:AO75)</f>
        <v>122</v>
      </c>
      <c r="AP68" s="29">
        <f t="shared" si="35"/>
        <v>118.55</v>
      </c>
      <c r="AQ68" s="29"/>
      <c r="AR68" s="24">
        <f t="shared" ref="AR68:AS68" si="36">SUM(AR69:AR75)</f>
        <v>117</v>
      </c>
      <c r="AS68" s="29">
        <f t="shared" si="36"/>
        <v>113.25</v>
      </c>
      <c r="AT68" s="29"/>
      <c r="AU68" s="46">
        <f t="shared" ref="AU68:AV68" si="37">SUM(AU69:AU75)</f>
        <v>117</v>
      </c>
      <c r="AV68" s="47">
        <f t="shared" si="37"/>
        <v>113.63</v>
      </c>
      <c r="AW68" s="46">
        <f t="shared" ref="AW68:AX68" si="38">SUM(AW69:AW75)</f>
        <v>108</v>
      </c>
      <c r="AX68" s="47">
        <f t="shared" si="38"/>
        <v>105.4</v>
      </c>
      <c r="AY68" s="47"/>
      <c r="AZ68" s="44">
        <f>SUM(AZ69:AZ75)</f>
        <v>116</v>
      </c>
      <c r="BA68" s="45">
        <f>SUM(BA69:BA75)</f>
        <v>113.07</v>
      </c>
      <c r="BB68" s="45"/>
      <c r="BC68" s="46">
        <f>SUM(BC69:BC75)</f>
        <v>114</v>
      </c>
      <c r="BD68" s="64">
        <f>SUM(BD69:BD75)</f>
        <v>110.49169999999999</v>
      </c>
      <c r="BE68" s="47"/>
      <c r="BF68" s="44">
        <f>SUM(BF69:BF75)</f>
        <v>114</v>
      </c>
      <c r="BG68" s="45">
        <f>SUM(BG69:BG75)</f>
        <v>109.9</v>
      </c>
      <c r="BH68" s="45"/>
      <c r="BI68" s="44">
        <f>SUM(BI69:BI75)</f>
        <v>110</v>
      </c>
      <c r="BJ68" s="89">
        <f>SUM(BJ69:BJ75)</f>
        <v>106.47999999999999</v>
      </c>
      <c r="BK68" s="45"/>
      <c r="BL68" s="46">
        <f>SUM(BL69:BL75)</f>
        <v>101</v>
      </c>
      <c r="BM68" s="64">
        <f>SUM(BM69:BM75)</f>
        <v>98.474999999999994</v>
      </c>
      <c r="BN68" s="47"/>
      <c r="BO68" s="44">
        <f>SUM(BO69:BO75)</f>
        <v>97</v>
      </c>
      <c r="BP68" s="89">
        <f>SUM(BP69:BP75)</f>
        <v>94.025000000000006</v>
      </c>
      <c r="BQ68" s="45"/>
      <c r="BR68" s="46">
        <f>SUM(BR69:BR75)</f>
        <v>100</v>
      </c>
      <c r="BS68" s="64">
        <f>SUM(BS69:BS75)</f>
        <v>97</v>
      </c>
      <c r="BT68" s="47"/>
      <c r="BU68" s="44">
        <f>SUM(BU69:BU75)</f>
        <v>103</v>
      </c>
      <c r="BV68" s="89">
        <f>SUM(BV69:BV75)</f>
        <v>101.5</v>
      </c>
      <c r="BW68" s="45"/>
    </row>
    <row r="69" spans="1:75" ht="12" customHeight="1">
      <c r="A69" s="100"/>
      <c r="B69" s="126" t="s">
        <v>17</v>
      </c>
      <c r="C69" s="126"/>
      <c r="D69" s="126"/>
      <c r="E69" s="15">
        <v>35</v>
      </c>
      <c r="F69" s="15">
        <v>35</v>
      </c>
      <c r="G69" s="15"/>
      <c r="H69" s="15">
        <v>34</v>
      </c>
      <c r="I69" s="15">
        <v>33.86</v>
      </c>
      <c r="J69" s="15"/>
      <c r="K69" s="15">
        <v>36</v>
      </c>
      <c r="L69" s="15">
        <v>36</v>
      </c>
      <c r="M69" s="15"/>
      <c r="N69" s="15">
        <v>40</v>
      </c>
      <c r="O69" s="15">
        <v>40</v>
      </c>
      <c r="P69" s="15"/>
      <c r="Q69" s="15">
        <v>39</v>
      </c>
      <c r="R69" s="15">
        <v>39</v>
      </c>
      <c r="S69" s="15"/>
      <c r="T69" s="15">
        <v>37</v>
      </c>
      <c r="U69" s="15">
        <v>37</v>
      </c>
      <c r="V69" s="15"/>
      <c r="W69" s="15">
        <v>35</v>
      </c>
      <c r="X69" s="15">
        <f>26.4+8</f>
        <v>34.4</v>
      </c>
      <c r="Y69" s="15"/>
      <c r="Z69" s="15">
        <f>25+7</f>
        <v>32</v>
      </c>
      <c r="AA69" s="15">
        <f>24.9+7</f>
        <v>31.9</v>
      </c>
      <c r="AB69" s="15"/>
      <c r="AC69" s="15">
        <v>33</v>
      </c>
      <c r="AD69" s="15">
        <v>33</v>
      </c>
      <c r="AE69" s="15"/>
      <c r="AF69" s="15">
        <v>31</v>
      </c>
      <c r="AG69" s="15">
        <v>31</v>
      </c>
      <c r="AH69" s="15"/>
      <c r="AI69" s="15">
        <v>30</v>
      </c>
      <c r="AJ69" s="15">
        <v>29</v>
      </c>
      <c r="AK69" s="15"/>
      <c r="AL69" s="15">
        <v>29</v>
      </c>
      <c r="AM69" s="15">
        <v>24</v>
      </c>
      <c r="AN69" s="127"/>
      <c r="AO69" s="15">
        <v>21</v>
      </c>
      <c r="AP69" s="16">
        <v>21</v>
      </c>
      <c r="AQ69" s="16"/>
      <c r="AR69" s="15">
        <v>17</v>
      </c>
      <c r="AS69" s="16">
        <v>16.600000000000001</v>
      </c>
      <c r="AT69" s="16"/>
      <c r="AU69" s="97">
        <v>16</v>
      </c>
      <c r="AV69" s="99">
        <v>15.6</v>
      </c>
      <c r="AW69" s="97">
        <v>14</v>
      </c>
      <c r="AX69" s="99">
        <v>13.6</v>
      </c>
      <c r="AY69" s="99"/>
      <c r="AZ69" s="95">
        <v>13</v>
      </c>
      <c r="BA69" s="96">
        <v>12.6</v>
      </c>
      <c r="BB69" s="96"/>
      <c r="BC69" s="97">
        <v>11</v>
      </c>
      <c r="BD69" s="99">
        <v>10.6</v>
      </c>
      <c r="BE69" s="99"/>
      <c r="BF69" s="95">
        <v>8</v>
      </c>
      <c r="BG69" s="96">
        <v>7.65</v>
      </c>
      <c r="BH69" s="96"/>
      <c r="BI69" s="95">
        <v>7</v>
      </c>
      <c r="BJ69" s="96">
        <v>6.5</v>
      </c>
      <c r="BK69" s="96"/>
      <c r="BL69" s="97">
        <v>6</v>
      </c>
      <c r="BM69" s="99">
        <v>6</v>
      </c>
      <c r="BN69" s="99"/>
      <c r="BO69" s="95">
        <v>5</v>
      </c>
      <c r="BP69" s="96">
        <v>5</v>
      </c>
      <c r="BQ69" s="96"/>
      <c r="BR69" s="97">
        <v>5</v>
      </c>
      <c r="BS69" s="99">
        <v>5</v>
      </c>
      <c r="BT69" s="99"/>
      <c r="BU69" s="95">
        <v>5</v>
      </c>
      <c r="BV69" s="96">
        <v>5</v>
      </c>
      <c r="BW69" s="96"/>
    </row>
    <row r="70" spans="1:75" ht="12" customHeight="1">
      <c r="A70" s="32"/>
      <c r="B70" s="128" t="s">
        <v>38</v>
      </c>
      <c r="C70" s="128"/>
      <c r="D70" s="128"/>
      <c r="E70" s="15">
        <v>1</v>
      </c>
      <c r="F70" s="15">
        <v>1</v>
      </c>
      <c r="G70" s="15"/>
      <c r="H70" s="15">
        <v>0</v>
      </c>
      <c r="I70" s="15">
        <v>0.14000000000000057</v>
      </c>
      <c r="J70" s="15"/>
      <c r="K70" s="15">
        <v>0</v>
      </c>
      <c r="L70" s="15">
        <v>0</v>
      </c>
      <c r="M70" s="15"/>
      <c r="N70" s="15">
        <v>0</v>
      </c>
      <c r="O70" s="15">
        <v>0</v>
      </c>
      <c r="P70" s="15"/>
      <c r="Q70" s="15">
        <v>0</v>
      </c>
      <c r="R70" s="15">
        <v>0</v>
      </c>
      <c r="S70" s="15"/>
      <c r="T70" s="15">
        <v>1</v>
      </c>
      <c r="U70" s="15">
        <v>1</v>
      </c>
      <c r="V70" s="15"/>
      <c r="W70" s="15">
        <v>1</v>
      </c>
      <c r="X70" s="15">
        <f>35.4-X69</f>
        <v>1</v>
      </c>
      <c r="Y70" s="15"/>
      <c r="Z70" s="15">
        <v>1</v>
      </c>
      <c r="AA70" s="15">
        <f>32.9-AA69</f>
        <v>1</v>
      </c>
      <c r="AB70" s="15"/>
      <c r="AC70" s="15">
        <v>0</v>
      </c>
      <c r="AD70" s="15">
        <f>32.9-AD69</f>
        <v>-0.10000000000000142</v>
      </c>
      <c r="AE70" s="15"/>
      <c r="AF70" s="15">
        <v>0</v>
      </c>
      <c r="AG70" s="15">
        <v>0</v>
      </c>
      <c r="AH70" s="15"/>
      <c r="AI70" s="15">
        <v>0</v>
      </c>
      <c r="AJ70" s="15">
        <v>0</v>
      </c>
      <c r="AK70" s="15"/>
      <c r="AL70" s="15">
        <v>0</v>
      </c>
      <c r="AM70" s="15">
        <v>4</v>
      </c>
      <c r="AN70" s="127"/>
      <c r="AO70" s="17">
        <v>1</v>
      </c>
      <c r="AP70" s="14">
        <v>1</v>
      </c>
      <c r="AQ70" s="14"/>
      <c r="AR70" s="17">
        <v>0</v>
      </c>
      <c r="AS70" s="14">
        <v>0</v>
      </c>
      <c r="AT70" s="14"/>
      <c r="AU70" s="33">
        <v>0</v>
      </c>
      <c r="AV70" s="35">
        <v>0</v>
      </c>
      <c r="AW70" s="33">
        <v>0</v>
      </c>
      <c r="AX70" s="39">
        <v>0</v>
      </c>
      <c r="AY70" s="39"/>
      <c r="AZ70" s="36">
        <v>0</v>
      </c>
      <c r="BA70" s="40">
        <v>0</v>
      </c>
      <c r="BB70" s="40"/>
      <c r="BC70" s="33">
        <v>0</v>
      </c>
      <c r="BD70" s="39">
        <v>0</v>
      </c>
      <c r="BE70" s="39"/>
      <c r="BF70" s="36">
        <v>0</v>
      </c>
      <c r="BG70" s="40">
        <v>0</v>
      </c>
      <c r="BH70" s="40"/>
      <c r="BI70" s="36">
        <v>0</v>
      </c>
      <c r="BJ70" s="40">
        <v>0</v>
      </c>
      <c r="BK70" s="40"/>
      <c r="BL70" s="33">
        <v>0</v>
      </c>
      <c r="BM70" s="39">
        <v>0</v>
      </c>
      <c r="BN70" s="39"/>
      <c r="BO70" s="36">
        <v>0</v>
      </c>
      <c r="BP70" s="40">
        <v>0</v>
      </c>
      <c r="BQ70" s="40"/>
      <c r="BR70" s="33">
        <v>0</v>
      </c>
      <c r="BS70" s="39">
        <v>0</v>
      </c>
      <c r="BT70" s="39"/>
      <c r="BU70" s="36">
        <v>0</v>
      </c>
      <c r="BV70" s="40">
        <v>0</v>
      </c>
      <c r="BW70" s="40"/>
    </row>
    <row r="71" spans="1:75" ht="12.4" customHeight="1">
      <c r="A71" s="100"/>
      <c r="B71" s="126" t="s">
        <v>18</v>
      </c>
      <c r="C71" s="126"/>
      <c r="D71" s="126"/>
      <c r="E71" s="15">
        <v>20</v>
      </c>
      <c r="F71" s="15">
        <v>20</v>
      </c>
      <c r="G71" s="15"/>
      <c r="H71" s="15">
        <v>20</v>
      </c>
      <c r="I71" s="15">
        <v>19.5</v>
      </c>
      <c r="J71" s="15"/>
      <c r="K71" s="15">
        <v>23</v>
      </c>
      <c r="L71" s="15">
        <v>22.79</v>
      </c>
      <c r="M71" s="15"/>
      <c r="N71" s="15">
        <v>22</v>
      </c>
      <c r="O71" s="15">
        <v>21.5</v>
      </c>
      <c r="P71" s="15"/>
      <c r="Q71" s="15">
        <v>22</v>
      </c>
      <c r="R71" s="15">
        <v>21.5</v>
      </c>
      <c r="S71" s="15"/>
      <c r="T71" s="15">
        <v>24</v>
      </c>
      <c r="U71" s="15">
        <v>23.58</v>
      </c>
      <c r="V71" s="15"/>
      <c r="W71" s="15">
        <v>26</v>
      </c>
      <c r="X71" s="15">
        <v>26</v>
      </c>
      <c r="Y71" s="15"/>
      <c r="Z71" s="15">
        <v>29</v>
      </c>
      <c r="AA71" s="15">
        <v>29</v>
      </c>
      <c r="AB71" s="15"/>
      <c r="AC71" s="15">
        <v>28</v>
      </c>
      <c r="AD71" s="15">
        <v>28</v>
      </c>
      <c r="AE71" s="15"/>
      <c r="AF71" s="15">
        <v>27</v>
      </c>
      <c r="AG71" s="15">
        <v>27</v>
      </c>
      <c r="AH71" s="15"/>
      <c r="AI71" s="15">
        <v>26</v>
      </c>
      <c r="AJ71" s="15">
        <v>26</v>
      </c>
      <c r="AK71" s="15"/>
      <c r="AL71" s="15">
        <v>29</v>
      </c>
      <c r="AM71" s="15">
        <v>29</v>
      </c>
      <c r="AN71" s="127"/>
      <c r="AO71" s="15">
        <v>39</v>
      </c>
      <c r="AP71" s="16">
        <v>38.25</v>
      </c>
      <c r="AQ71" s="16"/>
      <c r="AR71" s="15">
        <v>43</v>
      </c>
      <c r="AS71" s="16">
        <v>42.35</v>
      </c>
      <c r="AT71" s="16"/>
      <c r="AU71" s="97">
        <v>47</v>
      </c>
      <c r="AV71" s="99">
        <v>46.35</v>
      </c>
      <c r="AW71" s="97">
        <v>45</v>
      </c>
      <c r="AX71" s="99">
        <v>44.75</v>
      </c>
      <c r="AY71" s="99"/>
      <c r="AZ71" s="95">
        <v>61</v>
      </c>
      <c r="BA71" s="96">
        <v>60.75</v>
      </c>
      <c r="BB71" s="96"/>
      <c r="BC71" s="97">
        <v>61</v>
      </c>
      <c r="BD71" s="99">
        <v>60.5</v>
      </c>
      <c r="BE71" s="99"/>
      <c r="BF71" s="95">
        <v>66</v>
      </c>
      <c r="BG71" s="96">
        <v>64.849999999999994</v>
      </c>
      <c r="BH71" s="96"/>
      <c r="BI71" s="95">
        <v>66</v>
      </c>
      <c r="BJ71" s="96">
        <v>64.75</v>
      </c>
      <c r="BK71" s="96"/>
      <c r="BL71" s="97">
        <v>64</v>
      </c>
      <c r="BM71" s="99">
        <v>63.75</v>
      </c>
      <c r="BN71" s="99"/>
      <c r="BO71" s="95">
        <v>62</v>
      </c>
      <c r="BP71" s="96">
        <v>62</v>
      </c>
      <c r="BQ71" s="96"/>
      <c r="BR71" s="97">
        <v>69</v>
      </c>
      <c r="BS71" s="99">
        <v>68.25</v>
      </c>
      <c r="BT71" s="99"/>
      <c r="BU71" s="95">
        <v>71</v>
      </c>
      <c r="BV71" s="96">
        <v>70.75</v>
      </c>
      <c r="BW71" s="96"/>
    </row>
    <row r="72" spans="1:75" ht="12.4" customHeight="1">
      <c r="A72" s="100"/>
      <c r="B72" s="126" t="s">
        <v>19</v>
      </c>
      <c r="C72" s="126"/>
      <c r="D72" s="126"/>
      <c r="E72" s="15">
        <v>0</v>
      </c>
      <c r="F72" s="15">
        <v>0</v>
      </c>
      <c r="G72" s="15"/>
      <c r="H72" s="15">
        <v>0</v>
      </c>
      <c r="I72" s="15">
        <v>0</v>
      </c>
      <c r="J72" s="15"/>
      <c r="K72" s="15">
        <v>0</v>
      </c>
      <c r="L72" s="15">
        <v>0</v>
      </c>
      <c r="M72" s="15"/>
      <c r="N72" s="15">
        <v>0</v>
      </c>
      <c r="O72" s="15">
        <v>0</v>
      </c>
      <c r="P72" s="15"/>
      <c r="Q72" s="15">
        <v>0</v>
      </c>
      <c r="R72" s="15">
        <v>0</v>
      </c>
      <c r="S72" s="15"/>
      <c r="T72" s="15">
        <v>0</v>
      </c>
      <c r="U72" s="15">
        <v>0</v>
      </c>
      <c r="V72" s="15"/>
      <c r="W72" s="15">
        <v>0</v>
      </c>
      <c r="X72" s="15">
        <v>0</v>
      </c>
      <c r="Y72" s="15"/>
      <c r="Z72" s="15">
        <v>0</v>
      </c>
      <c r="AA72" s="15">
        <v>0</v>
      </c>
      <c r="AB72" s="15"/>
      <c r="AC72" s="15">
        <v>0</v>
      </c>
      <c r="AD72" s="15">
        <v>0</v>
      </c>
      <c r="AE72" s="15"/>
      <c r="AF72" s="15">
        <v>0</v>
      </c>
      <c r="AG72" s="15">
        <v>0</v>
      </c>
      <c r="AH72" s="15"/>
      <c r="AI72" s="15">
        <v>0</v>
      </c>
      <c r="AJ72" s="15">
        <v>0</v>
      </c>
      <c r="AK72" s="15"/>
      <c r="AL72" s="15">
        <v>0</v>
      </c>
      <c r="AM72" s="15">
        <v>0</v>
      </c>
      <c r="AN72" s="127"/>
      <c r="AO72" s="15">
        <v>0</v>
      </c>
      <c r="AP72" s="16">
        <v>0</v>
      </c>
      <c r="AQ72" s="16"/>
      <c r="AR72" s="15">
        <v>1</v>
      </c>
      <c r="AS72" s="16">
        <v>1</v>
      </c>
      <c r="AT72" s="16"/>
      <c r="AU72" s="97">
        <v>0</v>
      </c>
      <c r="AV72" s="99">
        <v>0</v>
      </c>
      <c r="AW72" s="97">
        <v>0</v>
      </c>
      <c r="AX72" s="99">
        <v>0</v>
      </c>
      <c r="AY72" s="99"/>
      <c r="AZ72" s="95">
        <v>0</v>
      </c>
      <c r="BA72" s="96">
        <v>0</v>
      </c>
      <c r="BB72" s="96"/>
      <c r="BC72" s="97">
        <v>0</v>
      </c>
      <c r="BD72" s="99">
        <v>0</v>
      </c>
      <c r="BE72" s="99"/>
      <c r="BF72" s="95">
        <v>0</v>
      </c>
      <c r="BG72" s="96">
        <v>0</v>
      </c>
      <c r="BH72" s="96"/>
      <c r="BI72" s="95">
        <v>0</v>
      </c>
      <c r="BJ72" s="96">
        <v>0</v>
      </c>
      <c r="BK72" s="96"/>
      <c r="BL72" s="97">
        <v>0</v>
      </c>
      <c r="BM72" s="99">
        <v>0</v>
      </c>
      <c r="BN72" s="99"/>
      <c r="BO72" s="95">
        <v>0</v>
      </c>
      <c r="BP72" s="96">
        <v>0</v>
      </c>
      <c r="BQ72" s="96"/>
      <c r="BR72" s="97">
        <v>0</v>
      </c>
      <c r="BS72" s="99">
        <v>0</v>
      </c>
      <c r="BT72" s="99"/>
      <c r="BU72" s="95">
        <v>0</v>
      </c>
      <c r="BV72" s="96">
        <v>0</v>
      </c>
      <c r="BW72" s="96"/>
    </row>
    <row r="73" spans="1:75" ht="12.4" customHeight="1">
      <c r="A73" s="100"/>
      <c r="B73" s="126" t="s">
        <v>15</v>
      </c>
      <c r="C73" s="126"/>
      <c r="D73" s="126"/>
      <c r="E73" s="15">
        <v>88</v>
      </c>
      <c r="F73" s="15">
        <v>83.08</v>
      </c>
      <c r="G73" s="15"/>
      <c r="H73" s="15">
        <v>86</v>
      </c>
      <c r="I73" s="15">
        <v>81.47</v>
      </c>
      <c r="J73" s="15"/>
      <c r="K73" s="15">
        <v>81</v>
      </c>
      <c r="L73" s="15">
        <v>77.39</v>
      </c>
      <c r="M73" s="15"/>
      <c r="N73" s="15">
        <v>78</v>
      </c>
      <c r="O73" s="15">
        <v>72.94</v>
      </c>
      <c r="P73" s="15"/>
      <c r="Q73" s="15">
        <v>79</v>
      </c>
      <c r="R73" s="15">
        <v>73.540000000000006</v>
      </c>
      <c r="S73" s="15"/>
      <c r="T73" s="15">
        <v>76</v>
      </c>
      <c r="U73" s="15">
        <v>71.92</v>
      </c>
      <c r="V73" s="15"/>
      <c r="W73" s="15">
        <v>75</v>
      </c>
      <c r="X73" s="15">
        <v>71.42</v>
      </c>
      <c r="Y73" s="15"/>
      <c r="Z73" s="15">
        <v>74</v>
      </c>
      <c r="AA73" s="15">
        <v>69.680000000000007</v>
      </c>
      <c r="AB73" s="15"/>
      <c r="AC73" s="15">
        <v>73</v>
      </c>
      <c r="AD73" s="15">
        <v>69</v>
      </c>
      <c r="AE73" s="15"/>
      <c r="AF73" s="15">
        <v>70</v>
      </c>
      <c r="AG73" s="15">
        <v>66</v>
      </c>
      <c r="AH73" s="15"/>
      <c r="AI73" s="15">
        <v>64</v>
      </c>
      <c r="AJ73" s="15">
        <v>62</v>
      </c>
      <c r="AK73" s="15"/>
      <c r="AL73" s="15">
        <v>62</v>
      </c>
      <c r="AM73" s="15">
        <v>59</v>
      </c>
      <c r="AN73" s="127"/>
      <c r="AO73" s="15">
        <v>61</v>
      </c>
      <c r="AP73" s="16">
        <v>58.3</v>
      </c>
      <c r="AQ73" s="16"/>
      <c r="AR73" s="15">
        <v>56</v>
      </c>
      <c r="AS73" s="16">
        <v>53.3</v>
      </c>
      <c r="AT73" s="16"/>
      <c r="AU73" s="97">
        <v>54</v>
      </c>
      <c r="AV73" s="99">
        <v>51.68</v>
      </c>
      <c r="AW73" s="97">
        <v>49</v>
      </c>
      <c r="AX73" s="99">
        <v>47.05</v>
      </c>
      <c r="AY73" s="99"/>
      <c r="AZ73" s="95">
        <v>42</v>
      </c>
      <c r="BA73" s="96">
        <v>39.72</v>
      </c>
      <c r="BB73" s="96"/>
      <c r="BC73" s="97">
        <v>42</v>
      </c>
      <c r="BD73" s="99">
        <v>39.3917</v>
      </c>
      <c r="BE73" s="99"/>
      <c r="BF73" s="95">
        <v>39</v>
      </c>
      <c r="BG73" s="96">
        <v>36.9</v>
      </c>
      <c r="BH73" s="96"/>
      <c r="BI73" s="95">
        <v>37</v>
      </c>
      <c r="BJ73" s="96">
        <v>35.229999999999997</v>
      </c>
      <c r="BK73" s="96"/>
      <c r="BL73" s="97">
        <v>31</v>
      </c>
      <c r="BM73" s="99">
        <v>28.725000000000001</v>
      </c>
      <c r="BN73" s="99"/>
      <c r="BO73" s="95">
        <v>29</v>
      </c>
      <c r="BP73" s="96">
        <v>26.524999999999999</v>
      </c>
      <c r="BQ73" s="96"/>
      <c r="BR73" s="97">
        <v>26</v>
      </c>
      <c r="BS73" s="99">
        <v>23.75</v>
      </c>
      <c r="BT73" s="99"/>
      <c r="BU73" s="95">
        <v>27</v>
      </c>
      <c r="BV73" s="96">
        <v>25.75</v>
      </c>
      <c r="BW73" s="96"/>
    </row>
    <row r="74" spans="1:75" ht="12.4" customHeight="1">
      <c r="A74" s="100"/>
      <c r="B74" s="126" t="s">
        <v>21</v>
      </c>
      <c r="C74" s="126"/>
      <c r="D74" s="126"/>
      <c r="E74" s="15">
        <v>0</v>
      </c>
      <c r="F74" s="15">
        <v>0</v>
      </c>
      <c r="G74" s="15"/>
      <c r="H74" s="15">
        <v>0</v>
      </c>
      <c r="I74" s="15">
        <v>0</v>
      </c>
      <c r="J74" s="15"/>
      <c r="K74" s="15">
        <v>0</v>
      </c>
      <c r="L74" s="15">
        <v>0</v>
      </c>
      <c r="M74" s="15"/>
      <c r="N74" s="15">
        <v>0</v>
      </c>
      <c r="O74" s="15">
        <v>0</v>
      </c>
      <c r="P74" s="15"/>
      <c r="Q74" s="15">
        <v>0</v>
      </c>
      <c r="R74" s="15">
        <v>0</v>
      </c>
      <c r="S74" s="15"/>
      <c r="T74" s="15">
        <v>0</v>
      </c>
      <c r="U74" s="15">
        <v>0</v>
      </c>
      <c r="V74" s="15"/>
      <c r="W74" s="15">
        <v>0</v>
      </c>
      <c r="X74" s="15">
        <v>0</v>
      </c>
      <c r="Y74" s="15"/>
      <c r="Z74" s="15">
        <v>0</v>
      </c>
      <c r="AA74" s="15">
        <v>0</v>
      </c>
      <c r="AB74" s="15"/>
      <c r="AC74" s="15">
        <v>0</v>
      </c>
      <c r="AD74" s="15">
        <v>0</v>
      </c>
      <c r="AE74" s="15"/>
      <c r="AF74" s="15">
        <v>0</v>
      </c>
      <c r="AG74" s="15">
        <v>0</v>
      </c>
      <c r="AH74" s="15"/>
      <c r="AI74" s="15">
        <v>0</v>
      </c>
      <c r="AJ74" s="15">
        <v>0</v>
      </c>
      <c r="AK74" s="15"/>
      <c r="AL74" s="15">
        <v>0</v>
      </c>
      <c r="AM74" s="15">
        <v>0</v>
      </c>
      <c r="AN74" s="127"/>
      <c r="AO74" s="15">
        <v>0</v>
      </c>
      <c r="AP74" s="16">
        <v>0</v>
      </c>
      <c r="AQ74" s="16"/>
      <c r="AR74" s="15">
        <v>0</v>
      </c>
      <c r="AS74" s="16">
        <v>0</v>
      </c>
      <c r="AT74" s="16"/>
      <c r="AU74" s="97">
        <v>0</v>
      </c>
      <c r="AV74" s="99">
        <v>0</v>
      </c>
      <c r="AW74" s="97">
        <v>0</v>
      </c>
      <c r="AX74" s="99">
        <v>0</v>
      </c>
      <c r="AY74" s="99"/>
      <c r="AZ74" s="95">
        <v>0</v>
      </c>
      <c r="BA74" s="96">
        <v>0</v>
      </c>
      <c r="BB74" s="96"/>
      <c r="BC74" s="97">
        <v>0</v>
      </c>
      <c r="BD74" s="99">
        <v>0</v>
      </c>
      <c r="BE74" s="99"/>
      <c r="BF74" s="95">
        <v>0</v>
      </c>
      <c r="BG74" s="96">
        <v>0</v>
      </c>
      <c r="BH74" s="96"/>
      <c r="BI74" s="95">
        <v>0</v>
      </c>
      <c r="BJ74" s="96">
        <v>0</v>
      </c>
      <c r="BK74" s="96"/>
      <c r="BL74" s="97">
        <v>0</v>
      </c>
      <c r="BM74" s="99">
        <v>0</v>
      </c>
      <c r="BN74" s="99"/>
      <c r="BO74" s="95">
        <v>0</v>
      </c>
      <c r="BP74" s="96">
        <v>0</v>
      </c>
      <c r="BQ74" s="96"/>
      <c r="BR74" s="97">
        <v>0</v>
      </c>
      <c r="BS74" s="99">
        <v>0</v>
      </c>
      <c r="BT74" s="99"/>
      <c r="BU74" s="95">
        <v>0</v>
      </c>
      <c r="BV74" s="96">
        <v>0</v>
      </c>
      <c r="BW74" s="96"/>
    </row>
    <row r="75" spans="1:75" ht="12.4" customHeight="1">
      <c r="A75" s="100"/>
      <c r="B75" s="126" t="s">
        <v>20</v>
      </c>
      <c r="C75" s="126"/>
      <c r="D75" s="126"/>
      <c r="E75" s="15">
        <v>3</v>
      </c>
      <c r="F75" s="15">
        <v>2.12</v>
      </c>
      <c r="G75" s="15"/>
      <c r="H75" s="15">
        <v>0</v>
      </c>
      <c r="I75" s="15">
        <v>2.44</v>
      </c>
      <c r="J75" s="15"/>
      <c r="K75" s="15">
        <v>0</v>
      </c>
      <c r="L75" s="15">
        <v>3.09</v>
      </c>
      <c r="M75" s="15"/>
      <c r="N75" s="15">
        <v>3</v>
      </c>
      <c r="O75" s="15">
        <v>1.26</v>
      </c>
      <c r="P75" s="15"/>
      <c r="Q75" s="15">
        <v>2</v>
      </c>
      <c r="R75" s="15">
        <v>1</v>
      </c>
      <c r="S75" s="15"/>
      <c r="T75" s="15">
        <v>3</v>
      </c>
      <c r="U75" s="15">
        <v>1.06</v>
      </c>
      <c r="V75" s="15"/>
      <c r="W75" s="15">
        <v>7</v>
      </c>
      <c r="X75" s="15">
        <v>2.4300000000000002</v>
      </c>
      <c r="Y75" s="15"/>
      <c r="Z75" s="15">
        <v>3</v>
      </c>
      <c r="AA75" s="15">
        <v>1.95</v>
      </c>
      <c r="AB75" s="15"/>
      <c r="AC75" s="15">
        <v>3</v>
      </c>
      <c r="AD75" s="15">
        <v>1</v>
      </c>
      <c r="AE75" s="15"/>
      <c r="AF75" s="15">
        <v>0</v>
      </c>
      <c r="AG75" s="15">
        <v>0</v>
      </c>
      <c r="AH75" s="15"/>
      <c r="AI75" s="15">
        <v>0</v>
      </c>
      <c r="AJ75" s="15">
        <v>0</v>
      </c>
      <c r="AK75" s="15"/>
      <c r="AL75" s="15">
        <v>0</v>
      </c>
      <c r="AM75" s="15">
        <v>0</v>
      </c>
      <c r="AN75" s="127"/>
      <c r="AO75" s="15">
        <v>0</v>
      </c>
      <c r="AP75" s="16">
        <v>0</v>
      </c>
      <c r="AQ75" s="16"/>
      <c r="AR75" s="15">
        <v>0</v>
      </c>
      <c r="AS75" s="16">
        <v>0</v>
      </c>
      <c r="AT75" s="16"/>
      <c r="AU75" s="97">
        <v>0</v>
      </c>
      <c r="AV75" s="99">
        <v>0</v>
      </c>
      <c r="AW75" s="97">
        <v>0</v>
      </c>
      <c r="AX75" s="99">
        <v>0</v>
      </c>
      <c r="AY75" s="99"/>
      <c r="AZ75" s="95">
        <v>0</v>
      </c>
      <c r="BA75" s="96">
        <v>0</v>
      </c>
      <c r="BB75" s="96"/>
      <c r="BC75" s="97">
        <v>0</v>
      </c>
      <c r="BD75" s="99">
        <v>0</v>
      </c>
      <c r="BE75" s="99"/>
      <c r="BF75" s="95">
        <v>1</v>
      </c>
      <c r="BG75" s="96">
        <v>0.5</v>
      </c>
      <c r="BH75" s="96"/>
      <c r="BI75" s="95">
        <v>0</v>
      </c>
      <c r="BJ75" s="96">
        <v>0</v>
      </c>
      <c r="BK75" s="96"/>
      <c r="BL75" s="97">
        <v>0</v>
      </c>
      <c r="BM75" s="99">
        <v>0</v>
      </c>
      <c r="BN75" s="99"/>
      <c r="BO75" s="95">
        <v>1</v>
      </c>
      <c r="BP75" s="96">
        <v>0.5</v>
      </c>
      <c r="BQ75" s="96"/>
      <c r="BR75" s="97">
        <v>0</v>
      </c>
      <c r="BS75" s="99">
        <v>0</v>
      </c>
      <c r="BT75" s="99"/>
      <c r="BU75" s="95">
        <v>0</v>
      </c>
      <c r="BV75" s="96">
        <v>0</v>
      </c>
      <c r="BW75" s="96"/>
    </row>
    <row r="76" spans="1:75" ht="5.25" customHeight="1">
      <c r="A76" s="26"/>
      <c r="B76" s="26"/>
      <c r="C76" s="26"/>
      <c r="D76" s="26"/>
      <c r="AN76" s="127"/>
      <c r="AO76" s="18"/>
      <c r="AP76" s="19"/>
      <c r="AQ76" s="19"/>
      <c r="AR76" s="27"/>
      <c r="AS76" s="28"/>
      <c r="AT76" s="28"/>
      <c r="AU76" s="55"/>
      <c r="AV76" s="56"/>
      <c r="AW76" s="66"/>
      <c r="AX76" s="67"/>
      <c r="AY76" s="67"/>
      <c r="AZ76" s="68"/>
      <c r="BA76" s="69"/>
      <c r="BB76" s="69"/>
      <c r="BC76" s="66"/>
      <c r="BD76" s="67"/>
      <c r="BE76" s="67"/>
      <c r="BF76" s="68"/>
      <c r="BG76" s="69"/>
      <c r="BH76" s="69"/>
      <c r="BI76" s="68"/>
      <c r="BJ76" s="69"/>
      <c r="BK76" s="69"/>
      <c r="BL76" s="77"/>
      <c r="BM76" s="78"/>
      <c r="BN76" s="78"/>
      <c r="BO76" s="68"/>
      <c r="BP76" s="69"/>
      <c r="BQ76" s="69"/>
      <c r="BR76" s="66"/>
      <c r="BS76" s="67"/>
      <c r="BT76" s="67"/>
      <c r="BU76" s="68"/>
      <c r="BV76" s="69"/>
      <c r="BW76" s="69"/>
    </row>
    <row r="77" spans="1:75" s="6" customFormat="1" ht="17.25" customHeight="1">
      <c r="A77" s="133" t="s">
        <v>36</v>
      </c>
      <c r="B77" s="133"/>
      <c r="C77" s="133"/>
      <c r="D77" s="133"/>
      <c r="E77" s="24" t="e">
        <f t="shared" ref="E77:Q77" si="39">SUM(E78:E84)</f>
        <v>#REF!</v>
      </c>
      <c r="F77" s="24" t="e">
        <f t="shared" si="39"/>
        <v>#REF!</v>
      </c>
      <c r="G77" s="24" t="e">
        <f t="shared" si="39"/>
        <v>#REF!</v>
      </c>
      <c r="H77" s="24" t="e">
        <f t="shared" si="39"/>
        <v>#REF!</v>
      </c>
      <c r="I77" s="24" t="e">
        <f t="shared" si="39"/>
        <v>#REF!</v>
      </c>
      <c r="J77" s="24" t="e">
        <f t="shared" si="39"/>
        <v>#REF!</v>
      </c>
      <c r="K77" s="24" t="e">
        <f t="shared" si="39"/>
        <v>#REF!</v>
      </c>
      <c r="L77" s="24" t="e">
        <f t="shared" si="39"/>
        <v>#REF!</v>
      </c>
      <c r="M77" s="24" t="e">
        <f t="shared" si="39"/>
        <v>#REF!</v>
      </c>
      <c r="N77" s="24" t="e">
        <f t="shared" si="39"/>
        <v>#REF!</v>
      </c>
      <c r="O77" s="24" t="e">
        <f t="shared" si="39"/>
        <v>#REF!</v>
      </c>
      <c r="P77" s="24" t="e">
        <f t="shared" si="39"/>
        <v>#REF!</v>
      </c>
      <c r="Q77" s="24">
        <f t="shared" si="39"/>
        <v>5059</v>
      </c>
      <c r="R77" s="24">
        <f t="shared" ref="R77:X77" si="40">SUM(R78:R84)</f>
        <v>3821.01</v>
      </c>
      <c r="S77" s="24"/>
      <c r="T77" s="24">
        <f t="shared" si="40"/>
        <v>4996</v>
      </c>
      <c r="U77" s="24">
        <f t="shared" si="40"/>
        <v>3774.37</v>
      </c>
      <c r="V77" s="24"/>
      <c r="W77" s="24">
        <f t="shared" si="40"/>
        <v>5067</v>
      </c>
      <c r="X77" s="24">
        <f t="shared" si="40"/>
        <v>3831.54</v>
      </c>
      <c r="Y77" s="24"/>
      <c r="Z77" s="24">
        <f>SUM(Z78:Z84)</f>
        <v>5170</v>
      </c>
      <c r="AA77" s="24">
        <f>SUM(AA78:AA84)</f>
        <v>3923.0499999999997</v>
      </c>
      <c r="AB77" s="24"/>
      <c r="AC77" s="24">
        <f>SUM(AC78:AC84)</f>
        <v>5305</v>
      </c>
      <c r="AD77" s="24">
        <f>SUM(AD78:AD84)</f>
        <v>3994.42</v>
      </c>
      <c r="AE77" s="24"/>
      <c r="AF77" s="24">
        <f>SUM(AF78:AF84)</f>
        <v>5236</v>
      </c>
      <c r="AG77" s="24">
        <f>SUM(AG78:AG84)</f>
        <v>3860.96</v>
      </c>
      <c r="AH77" s="24"/>
      <c r="AI77" s="24">
        <f>SUM(AI78:AI84)</f>
        <v>5400</v>
      </c>
      <c r="AJ77" s="24">
        <f>SUM(AJ78:AJ84)</f>
        <v>3909.33</v>
      </c>
      <c r="AK77" s="24"/>
      <c r="AL77" s="24">
        <f>SUM(AL78:AL84)</f>
        <v>5535</v>
      </c>
      <c r="AM77" s="24">
        <f>SUM(AM78:AM84)</f>
        <v>4028.55</v>
      </c>
      <c r="AN77" s="127"/>
      <c r="AO77" s="20">
        <f t="shared" ref="AO77:AP77" si="41">SUM(AO78:AO84)</f>
        <v>5927</v>
      </c>
      <c r="AP77" s="13">
        <f t="shared" si="41"/>
        <v>4456.53</v>
      </c>
      <c r="AQ77" s="13"/>
      <c r="AR77" s="24">
        <f t="shared" ref="AR77:AS77" si="42">SUM(AR78:AR84)</f>
        <v>6182</v>
      </c>
      <c r="AS77" s="29">
        <f t="shared" si="42"/>
        <v>4597.8599999999997</v>
      </c>
      <c r="AT77" s="29"/>
      <c r="AU77" s="46">
        <f t="shared" ref="AU77:AV77" si="43">SUM(AU78:AU84)</f>
        <v>6448</v>
      </c>
      <c r="AV77" s="47">
        <f t="shared" si="43"/>
        <v>4838.32</v>
      </c>
      <c r="AW77" s="46">
        <f t="shared" ref="AW77:AX77" si="44">SUM(AW78:AW84)</f>
        <v>6517</v>
      </c>
      <c r="AX77" s="47">
        <f t="shared" si="44"/>
        <v>4912.03</v>
      </c>
      <c r="AY77" s="47"/>
      <c r="AZ77" s="44">
        <f>SUM(AZ78:AZ84)</f>
        <v>6670</v>
      </c>
      <c r="BA77" s="45">
        <f>SUM(BA78:BA84)</f>
        <v>5000.1200000000008</v>
      </c>
      <c r="BB77" s="45"/>
      <c r="BC77" s="46">
        <f t="shared" ref="BC77:BD84" si="45">BC68+BC60+BC46+BC38+BC30+BC22+BC14+BC6</f>
        <v>6526</v>
      </c>
      <c r="BD77" s="64">
        <f t="shared" si="45"/>
        <v>4923.7390999999998</v>
      </c>
      <c r="BE77" s="49"/>
      <c r="BF77" s="44">
        <f t="shared" ref="BF77:BG84" si="46">SUM(BF68,BF60,BF46,BF38,BF30,BF22,BF14,BF6)</f>
        <v>6083</v>
      </c>
      <c r="BG77" s="45">
        <f t="shared" si="46"/>
        <v>4646.233400000001</v>
      </c>
      <c r="BH77" s="45"/>
      <c r="BI77" s="44">
        <f t="shared" ref="BI77:BJ84" si="47">BI68+BI60+BI46+BI38+BI30+BI22+BI14+BI6</f>
        <v>5998</v>
      </c>
      <c r="BJ77" s="89">
        <f t="shared" si="47"/>
        <v>4609.0099999999993</v>
      </c>
      <c r="BK77" s="48"/>
      <c r="BL77" s="46">
        <f t="shared" ref="BL77:BM84" si="48">BL68+BL60+BL46+BL38+BL30+BL22+BL14+BL6</f>
        <v>6146</v>
      </c>
      <c r="BM77" s="64">
        <f t="shared" si="48"/>
        <v>4682.6675000000005</v>
      </c>
      <c r="BN77" s="75"/>
      <c r="BO77" s="44">
        <f t="shared" ref="BO77:BP84" si="49">BO68+BO60+BO46+BO38+BO30+BO22+BO14+BO6</f>
        <v>6086</v>
      </c>
      <c r="BP77" s="89">
        <f t="shared" si="49"/>
        <v>4719.8541999999979</v>
      </c>
      <c r="BQ77" s="48"/>
      <c r="BR77" s="46">
        <f t="shared" ref="BR77:BS84" si="50">BR68+BR60+BR46+BR38+BR30+BR22+BR14+BR6</f>
        <v>6184</v>
      </c>
      <c r="BS77" s="64">
        <f t="shared" si="50"/>
        <v>4718.3792000000003</v>
      </c>
      <c r="BT77" s="49"/>
      <c r="BU77" s="44">
        <f t="shared" ref="BU77:BV84" si="51">BU68+BU60+BU46+BU38+BU30+BU22+BU14+BU6</f>
        <v>6120</v>
      </c>
      <c r="BV77" s="89">
        <f t="shared" si="51"/>
        <v>4700.4081999999999</v>
      </c>
      <c r="BW77" s="48"/>
    </row>
    <row r="78" spans="1:75" ht="12" customHeight="1">
      <c r="A78" s="100"/>
      <c r="B78" s="126" t="s">
        <v>17</v>
      </c>
      <c r="C78" s="126"/>
      <c r="D78" s="126"/>
      <c r="E78" s="15" t="e">
        <f>E69+#REF!+E48+E40+#REF!+E24+E16+E1+#REF!+#REF!</f>
        <v>#REF!</v>
      </c>
      <c r="F78" s="15" t="e">
        <f>F69+#REF!+F48+F40+#REF!+F24+F16+F1+#REF!+#REF!</f>
        <v>#REF!</v>
      </c>
      <c r="G78" s="15" t="e">
        <f>G69+#REF!+G48+G40+#REF!+G24+G16+G1+#REF!+#REF!</f>
        <v>#REF!</v>
      </c>
      <c r="H78" s="15" t="e">
        <f>H69+#REF!+H48+H40+#REF!+H24+H16+H1+#REF!+#REF!</f>
        <v>#REF!</v>
      </c>
      <c r="I78" s="15" t="e">
        <f>I69+#REF!+I48+I40+#REF!+I24+I16+I1+#REF!+#REF!</f>
        <v>#REF!</v>
      </c>
      <c r="J78" s="15" t="e">
        <f>J69+#REF!+J48+J40+#REF!+J24+J16+J1+#REF!+#REF!</f>
        <v>#REF!</v>
      </c>
      <c r="K78" s="15" t="e">
        <f>K69+#REF!+K48+K40+#REF!+K24+K16+K1+#REF!+#REF!</f>
        <v>#REF!</v>
      </c>
      <c r="L78" s="15" t="e">
        <f>L69+#REF!+L48+L40+#REF!+L24+L16+L1+#REF!+#REF!</f>
        <v>#REF!</v>
      </c>
      <c r="M78" s="15" t="e">
        <f>M69+#REF!+M48+M40+#REF!+M24+M16+M1+#REF!+#REF!</f>
        <v>#REF!</v>
      </c>
      <c r="N78" s="15" t="e">
        <f>N69+#REF!+N48+N40+#REF!+N24+N16+N1+#REF!+#REF!</f>
        <v>#REF!</v>
      </c>
      <c r="O78" s="15" t="e">
        <f>O69+#REF!+O48+O40+#REF!+O24+O16+O1+#REF!+#REF!</f>
        <v>#REF!</v>
      </c>
      <c r="P78" s="15" t="e">
        <f>P69+#REF!+P48+P40+#REF!+P24+P16+P1+#REF!+#REF!</f>
        <v>#REF!</v>
      </c>
      <c r="Q78" s="15">
        <f t="shared" ref="Q78:R84" si="52">Q69+Q61+Q47+Q39+Q31+Q23+Q15+Q7</f>
        <v>1358</v>
      </c>
      <c r="R78" s="15">
        <f t="shared" si="52"/>
        <v>1241.47</v>
      </c>
      <c r="S78" s="15"/>
      <c r="T78" s="15">
        <f t="shared" ref="T78:U84" si="53">T69+T61+T47+T39+T31+T23+T15+T7</f>
        <v>1313</v>
      </c>
      <c r="U78" s="15">
        <f t="shared" si="53"/>
        <v>1207.53</v>
      </c>
      <c r="V78" s="15"/>
      <c r="W78" s="15">
        <f t="shared" ref="W78:X84" si="54">W69+W61+W47+W39+W31+W23+W15+W7</f>
        <v>1292</v>
      </c>
      <c r="X78" s="15">
        <f t="shared" si="54"/>
        <v>1186.6100000000001</v>
      </c>
      <c r="Y78" s="15"/>
      <c r="Z78" s="15">
        <f t="shared" ref="Z78:AA84" si="55">Z69+Z61+Z47+Z39+Z31+Z23+Z15+Z7</f>
        <v>1314</v>
      </c>
      <c r="AA78" s="15">
        <f t="shared" si="55"/>
        <v>1225.71</v>
      </c>
      <c r="AB78" s="15"/>
      <c r="AC78" s="15">
        <f t="shared" ref="AC78:AD84" si="56">AC69+AC61+AC47+AC39+AC31+AC23+AC15+AC7</f>
        <v>1346</v>
      </c>
      <c r="AD78" s="15">
        <f t="shared" si="56"/>
        <v>1241</v>
      </c>
      <c r="AE78" s="15"/>
      <c r="AF78" s="15">
        <f t="shared" ref="AF78:AG84" si="57">AF69+AF61+AF47+AF39+AF31+AF23+AF15+AF7</f>
        <v>1308</v>
      </c>
      <c r="AG78" s="15">
        <f t="shared" si="57"/>
        <v>1198</v>
      </c>
      <c r="AH78" s="15"/>
      <c r="AI78" s="15">
        <f t="shared" ref="AI78:AJ84" si="58">AI69+AI61+AI47+AI39+AI31+AI23+AI15+AI7</f>
        <v>1293</v>
      </c>
      <c r="AJ78" s="15">
        <f t="shared" si="58"/>
        <v>1188</v>
      </c>
      <c r="AK78" s="15"/>
      <c r="AL78" s="15">
        <f t="shared" ref="AL78:AM84" si="59">AL69+AL61+AL47+AL39+AL31+AL23+AL15+AL7</f>
        <v>1331</v>
      </c>
      <c r="AM78" s="15">
        <f t="shared" si="59"/>
        <v>1207.0700000000002</v>
      </c>
      <c r="AN78" s="127"/>
      <c r="AO78" s="15">
        <f t="shared" ref="AO78:AP84" si="60">AO69+AO61+AO47+AO39+AO31+AO23+AO15+AO7</f>
        <v>1276</v>
      </c>
      <c r="AP78" s="16">
        <f t="shared" si="60"/>
        <v>1254.72</v>
      </c>
      <c r="AQ78" s="16"/>
      <c r="AR78" s="15">
        <f t="shared" ref="AR78:AS84" si="61">AR69+AR61+AR47+AR39+AR31+AR23+AR15+AR7</f>
        <v>1305</v>
      </c>
      <c r="AS78" s="16">
        <f t="shared" si="61"/>
        <v>1272.24</v>
      </c>
      <c r="AT78" s="16"/>
      <c r="AU78" s="97">
        <f t="shared" ref="AU78:AX84" si="62">AU69+AU61+AU47+AU39+AU31+AU23+AU15+AU7</f>
        <v>1364</v>
      </c>
      <c r="AV78" s="99">
        <f t="shared" si="62"/>
        <v>1346.1200000000001</v>
      </c>
      <c r="AW78" s="97">
        <f t="shared" si="62"/>
        <v>1347</v>
      </c>
      <c r="AX78" s="99">
        <f t="shared" si="62"/>
        <v>1327.1399999999999</v>
      </c>
      <c r="AY78" s="99"/>
      <c r="AZ78" s="95">
        <f t="shared" ref="AZ78:BA84" si="63">AZ69+AZ61+AZ47+AZ39+AZ31+AZ23+AZ15+AZ7</f>
        <v>1362</v>
      </c>
      <c r="BA78" s="96">
        <f t="shared" si="63"/>
        <v>1340.47</v>
      </c>
      <c r="BB78" s="96"/>
      <c r="BC78" s="97">
        <f t="shared" si="45"/>
        <v>1355</v>
      </c>
      <c r="BD78" s="99">
        <f t="shared" si="45"/>
        <v>1332.7841000000001</v>
      </c>
      <c r="BE78" s="99"/>
      <c r="BF78" s="95">
        <f t="shared" si="46"/>
        <v>1309</v>
      </c>
      <c r="BG78" s="96">
        <f t="shared" si="46"/>
        <v>1291.9299999999998</v>
      </c>
      <c r="BH78" s="96"/>
      <c r="BI78" s="95">
        <f t="shared" si="47"/>
        <v>1278</v>
      </c>
      <c r="BJ78" s="96">
        <f t="shared" si="47"/>
        <v>1261.45</v>
      </c>
      <c r="BK78" s="96"/>
      <c r="BL78" s="97">
        <f t="shared" si="48"/>
        <v>1193</v>
      </c>
      <c r="BM78" s="99">
        <f t="shared" si="48"/>
        <v>1182.04</v>
      </c>
      <c r="BN78" s="101"/>
      <c r="BO78" s="95">
        <f t="shared" si="49"/>
        <v>1152</v>
      </c>
      <c r="BP78" s="96">
        <f t="shared" si="49"/>
        <v>1137.2149999999999</v>
      </c>
      <c r="BQ78" s="96"/>
      <c r="BR78" s="97">
        <f t="shared" si="50"/>
        <v>1118</v>
      </c>
      <c r="BS78" s="99">
        <f t="shared" si="50"/>
        <v>1107.8150000000001</v>
      </c>
      <c r="BT78" s="99"/>
      <c r="BU78" s="95">
        <f t="shared" si="51"/>
        <v>1096</v>
      </c>
      <c r="BV78" s="96">
        <f t="shared" si="51"/>
        <v>1085.2325000000001</v>
      </c>
      <c r="BW78" s="96"/>
    </row>
    <row r="79" spans="1:75" s="12" customFormat="1" ht="12" customHeight="1">
      <c r="A79" s="32"/>
      <c r="B79" s="128" t="s">
        <v>38</v>
      </c>
      <c r="C79" s="128"/>
      <c r="D79" s="128"/>
      <c r="E79" s="17" t="e">
        <f>E70+#REF!+#REF!+#REF!+#REF!+#REF!+#REF!+E2+#REF!+#REF!</f>
        <v>#REF!</v>
      </c>
      <c r="F79" s="17" t="e">
        <f>F70+#REF!+#REF!+#REF!+#REF!+#REF!+#REF!+F2+#REF!+#REF!</f>
        <v>#REF!</v>
      </c>
      <c r="G79" s="17" t="e">
        <f>G70+#REF!+#REF!+#REF!+#REF!+#REF!+#REF!+G2+#REF!+#REF!</f>
        <v>#REF!</v>
      </c>
      <c r="H79" s="17" t="e">
        <f>H70+#REF!+#REF!+#REF!+#REF!+#REF!+#REF!+H2+#REF!+#REF!</f>
        <v>#REF!</v>
      </c>
      <c r="I79" s="17" t="e">
        <f>I70+#REF!+#REF!+#REF!+#REF!+#REF!+#REF!+I2+#REF!+#REF!</f>
        <v>#REF!</v>
      </c>
      <c r="J79" s="17" t="e">
        <f>J70+#REF!+#REF!+#REF!+#REF!+#REF!+#REF!+J2+#REF!+#REF!</f>
        <v>#REF!</v>
      </c>
      <c r="K79" s="17" t="e">
        <f>K70+#REF!+#REF!+#REF!+#REF!+#REF!+#REF!+K2+#REF!+#REF!</f>
        <v>#REF!</v>
      </c>
      <c r="L79" s="17" t="e">
        <f>L70+#REF!+#REF!+#REF!+#REF!+#REF!+#REF!+L2+#REF!+#REF!</f>
        <v>#REF!</v>
      </c>
      <c r="M79" s="17" t="e">
        <f>M70+#REF!+#REF!+#REF!+#REF!+#REF!+#REF!+M2+#REF!+#REF!</f>
        <v>#REF!</v>
      </c>
      <c r="N79" s="17" t="e">
        <f>N70+#REF!+#REF!+#REF!+#REF!+#REF!+#REF!+N2+#REF!+#REF!</f>
        <v>#REF!</v>
      </c>
      <c r="O79" s="17" t="e">
        <f>O70+#REF!+#REF!+#REF!+#REF!+#REF!+#REF!+O2+#REF!+#REF!</f>
        <v>#REF!</v>
      </c>
      <c r="P79" s="17" t="e">
        <f>P70+#REF!+#REF!+#REF!+#REF!+#REF!+#REF!+P2+#REF!+#REF!</f>
        <v>#REF!</v>
      </c>
      <c r="Q79" s="17">
        <f t="shared" si="52"/>
        <v>376</v>
      </c>
      <c r="R79" s="17">
        <f t="shared" si="52"/>
        <v>267.75000000000006</v>
      </c>
      <c r="S79" s="17"/>
      <c r="T79" s="17">
        <f t="shared" si="53"/>
        <v>396</v>
      </c>
      <c r="U79" s="17">
        <f t="shared" si="53"/>
        <v>285.14999999999998</v>
      </c>
      <c r="V79" s="17"/>
      <c r="W79" s="17">
        <f t="shared" si="54"/>
        <v>384</v>
      </c>
      <c r="X79" s="17">
        <f t="shared" si="54"/>
        <v>281.53000000000003</v>
      </c>
      <c r="Y79" s="17"/>
      <c r="Z79" s="17">
        <f t="shared" si="55"/>
        <v>409</v>
      </c>
      <c r="AA79" s="17">
        <f t="shared" si="55"/>
        <v>305.39</v>
      </c>
      <c r="AB79" s="17"/>
      <c r="AC79" s="17">
        <f t="shared" si="56"/>
        <v>400</v>
      </c>
      <c r="AD79" s="17">
        <f t="shared" si="56"/>
        <v>303.89999999999998</v>
      </c>
      <c r="AE79" s="17"/>
      <c r="AF79" s="17">
        <f t="shared" si="57"/>
        <v>432</v>
      </c>
      <c r="AG79" s="17">
        <f t="shared" si="57"/>
        <v>321</v>
      </c>
      <c r="AH79" s="17"/>
      <c r="AI79" s="17">
        <f t="shared" si="58"/>
        <v>473</v>
      </c>
      <c r="AJ79" s="17">
        <f t="shared" si="58"/>
        <v>357</v>
      </c>
      <c r="AK79" s="17"/>
      <c r="AL79" s="17">
        <f t="shared" si="59"/>
        <v>514</v>
      </c>
      <c r="AM79" s="17">
        <f t="shared" si="59"/>
        <v>389.76000000000005</v>
      </c>
      <c r="AN79" s="127"/>
      <c r="AO79" s="17">
        <f t="shared" si="60"/>
        <v>554</v>
      </c>
      <c r="AP79" s="17">
        <f t="shared" si="60"/>
        <v>433.55</v>
      </c>
      <c r="AQ79" s="14"/>
      <c r="AR79" s="17">
        <f t="shared" si="61"/>
        <v>567</v>
      </c>
      <c r="AS79" s="14">
        <f t="shared" si="61"/>
        <v>460.68000000000006</v>
      </c>
      <c r="AT79" s="14"/>
      <c r="AU79" s="33">
        <f t="shared" si="62"/>
        <v>581</v>
      </c>
      <c r="AV79" s="35">
        <f t="shared" si="62"/>
        <v>475.55000000000007</v>
      </c>
      <c r="AW79" s="33">
        <f t="shared" si="62"/>
        <v>594</v>
      </c>
      <c r="AX79" s="35">
        <f t="shared" si="62"/>
        <v>486.69</v>
      </c>
      <c r="AY79" s="35"/>
      <c r="AZ79" s="36">
        <f t="shared" si="63"/>
        <v>604</v>
      </c>
      <c r="BA79" s="37">
        <f t="shared" si="63"/>
        <v>494.43</v>
      </c>
      <c r="BB79" s="37"/>
      <c r="BC79" s="33">
        <f t="shared" si="45"/>
        <v>578</v>
      </c>
      <c r="BD79" s="35">
        <f t="shared" si="45"/>
        <v>472.36769999999996</v>
      </c>
      <c r="BE79" s="35"/>
      <c r="BF79" s="36">
        <f t="shared" si="46"/>
        <v>601</v>
      </c>
      <c r="BG79" s="37">
        <f t="shared" si="46"/>
        <v>487.19029999999998</v>
      </c>
      <c r="BH79" s="37"/>
      <c r="BI79" s="36">
        <f t="shared" si="47"/>
        <v>578</v>
      </c>
      <c r="BJ79" s="37">
        <f t="shared" si="47"/>
        <v>470.88</v>
      </c>
      <c r="BK79" s="37"/>
      <c r="BL79" s="33">
        <f t="shared" si="48"/>
        <v>577</v>
      </c>
      <c r="BM79" s="35">
        <f t="shared" si="48"/>
        <v>469.61180000000002</v>
      </c>
      <c r="BN79" s="74"/>
      <c r="BO79" s="36">
        <f t="shared" si="49"/>
        <v>570</v>
      </c>
      <c r="BP79" s="37">
        <f t="shared" si="49"/>
        <v>478.85259999999994</v>
      </c>
      <c r="BQ79" s="37"/>
      <c r="BR79" s="33">
        <f t="shared" si="50"/>
        <v>603</v>
      </c>
      <c r="BS79" s="35">
        <f t="shared" si="50"/>
        <v>504.84030000000007</v>
      </c>
      <c r="BT79" s="35"/>
      <c r="BU79" s="36">
        <f t="shared" si="51"/>
        <v>626</v>
      </c>
      <c r="BV79" s="37">
        <f t="shared" si="51"/>
        <v>521.54319999999996</v>
      </c>
      <c r="BW79" s="37"/>
    </row>
    <row r="80" spans="1:75" ht="12.4" customHeight="1">
      <c r="A80" s="100"/>
      <c r="B80" s="126" t="s">
        <v>18</v>
      </c>
      <c r="C80" s="126"/>
      <c r="D80" s="126"/>
      <c r="E80" s="15" t="e">
        <f>E71+#REF!+E50+E42+#REF!+E26+E18+E4+#REF!+#REF!</f>
        <v>#REF!</v>
      </c>
      <c r="F80" s="15" t="e">
        <f>F71+#REF!+F50+F42+#REF!+F26+F18+F4+#REF!+#REF!</f>
        <v>#REF!</v>
      </c>
      <c r="G80" s="15" t="e">
        <f>G71+#REF!+G50+G42+#REF!+G26+G18+G4+#REF!+#REF!</f>
        <v>#REF!</v>
      </c>
      <c r="H80" s="15" t="e">
        <f>H71+#REF!+H50+H42+#REF!+H26+H18+H4+#REF!+#REF!</f>
        <v>#REF!</v>
      </c>
      <c r="I80" s="15" t="e">
        <f>I71+#REF!+I50+I42+#REF!+I26+I18+I4+#REF!+#REF!</f>
        <v>#REF!</v>
      </c>
      <c r="J80" s="15" t="e">
        <f>J71+#REF!+J50+J42+#REF!+J26+J18+J4+#REF!+#REF!</f>
        <v>#REF!</v>
      </c>
      <c r="K80" s="15" t="e">
        <f>K71+#REF!+K50+K42+#REF!+K26+K18+K4+#REF!+#REF!</f>
        <v>#REF!</v>
      </c>
      <c r="L80" s="15" t="e">
        <f>L71+#REF!+L50+L42+#REF!+L26+L18+L4+#REF!+#REF!</f>
        <v>#REF!</v>
      </c>
      <c r="M80" s="15" t="e">
        <f>M71+#REF!+M50+M42+#REF!+M26+M18+M4+#REF!+#REF!</f>
        <v>#REF!</v>
      </c>
      <c r="N80" s="15" t="e">
        <f>N71+#REF!+N50+N42+#REF!+N26+N18+N4+#REF!+#REF!</f>
        <v>#REF!</v>
      </c>
      <c r="O80" s="15" t="e">
        <f>O71+#REF!+O50+O42+#REF!+O26+O18+O4+#REF!+#REF!</f>
        <v>#REF!</v>
      </c>
      <c r="P80" s="15" t="e">
        <f>P71+#REF!+P50+P42+#REF!+P26+P18+P4+#REF!+#REF!</f>
        <v>#REF!</v>
      </c>
      <c r="Q80" s="15">
        <f t="shared" si="52"/>
        <v>809</v>
      </c>
      <c r="R80" s="15">
        <f t="shared" si="52"/>
        <v>767.82</v>
      </c>
      <c r="S80" s="15"/>
      <c r="T80" s="15">
        <f t="shared" si="53"/>
        <v>833</v>
      </c>
      <c r="U80" s="15">
        <f t="shared" si="53"/>
        <v>780.58000000000015</v>
      </c>
      <c r="V80" s="15"/>
      <c r="W80" s="15">
        <f t="shared" si="54"/>
        <v>878</v>
      </c>
      <c r="X80" s="15">
        <f t="shared" si="54"/>
        <v>825.49</v>
      </c>
      <c r="Y80" s="15"/>
      <c r="Z80" s="15">
        <f t="shared" si="55"/>
        <v>916</v>
      </c>
      <c r="AA80" s="15">
        <f t="shared" si="55"/>
        <v>874.31</v>
      </c>
      <c r="AB80" s="15"/>
      <c r="AC80" s="15">
        <f t="shared" si="56"/>
        <v>1001</v>
      </c>
      <c r="AD80" s="15">
        <f t="shared" si="56"/>
        <v>942</v>
      </c>
      <c r="AE80" s="15"/>
      <c r="AF80" s="15">
        <f t="shared" si="57"/>
        <v>936</v>
      </c>
      <c r="AG80" s="15">
        <f t="shared" si="57"/>
        <v>870</v>
      </c>
      <c r="AH80" s="15"/>
      <c r="AI80" s="15">
        <f t="shared" si="58"/>
        <v>963</v>
      </c>
      <c r="AJ80" s="15">
        <f t="shared" si="58"/>
        <v>905</v>
      </c>
      <c r="AK80" s="15"/>
      <c r="AL80" s="15">
        <f t="shared" si="59"/>
        <v>1013</v>
      </c>
      <c r="AM80" s="15">
        <f t="shared" si="59"/>
        <v>966.82999999999993</v>
      </c>
      <c r="AN80" s="127"/>
      <c r="AO80" s="15">
        <f t="shared" si="60"/>
        <v>1063</v>
      </c>
      <c r="AP80" s="16">
        <f t="shared" si="60"/>
        <v>1025.01</v>
      </c>
      <c r="AQ80" s="16"/>
      <c r="AR80" s="15">
        <f t="shared" si="61"/>
        <v>1095</v>
      </c>
      <c r="AS80" s="16">
        <f t="shared" si="61"/>
        <v>1051.31</v>
      </c>
      <c r="AT80" s="16"/>
      <c r="AU80" s="97">
        <f t="shared" si="62"/>
        <v>1211</v>
      </c>
      <c r="AV80" s="99">
        <f t="shared" si="62"/>
        <v>1170.1200000000001</v>
      </c>
      <c r="AW80" s="97">
        <f t="shared" si="62"/>
        <v>1268</v>
      </c>
      <c r="AX80" s="99">
        <f t="shared" si="62"/>
        <v>1232.1199999999999</v>
      </c>
      <c r="AY80" s="99"/>
      <c r="AZ80" s="95">
        <f t="shared" si="63"/>
        <v>1318</v>
      </c>
      <c r="BA80" s="96">
        <f t="shared" si="63"/>
        <v>1276.78</v>
      </c>
      <c r="BB80" s="96"/>
      <c r="BC80" s="97">
        <f t="shared" si="45"/>
        <v>1311</v>
      </c>
      <c r="BD80" s="99">
        <f t="shared" si="45"/>
        <v>1272.3903999999998</v>
      </c>
      <c r="BE80" s="99"/>
      <c r="BF80" s="95">
        <f t="shared" si="46"/>
        <v>1311</v>
      </c>
      <c r="BG80" s="96">
        <f t="shared" si="46"/>
        <v>1275.0413000000001</v>
      </c>
      <c r="BH80" s="96"/>
      <c r="BI80" s="95">
        <f t="shared" si="47"/>
        <v>1360</v>
      </c>
      <c r="BJ80" s="96">
        <f t="shared" si="47"/>
        <v>1321.3600000000001</v>
      </c>
      <c r="BK80" s="96"/>
      <c r="BL80" s="97">
        <f t="shared" si="48"/>
        <v>1481</v>
      </c>
      <c r="BM80" s="99">
        <f t="shared" si="48"/>
        <v>1440.4322999999999</v>
      </c>
      <c r="BN80" s="101"/>
      <c r="BO80" s="95">
        <f t="shared" si="49"/>
        <v>1544</v>
      </c>
      <c r="BP80" s="96">
        <f t="shared" si="49"/>
        <v>1505.1083000000001</v>
      </c>
      <c r="BQ80" s="96"/>
      <c r="BR80" s="97">
        <f t="shared" si="50"/>
        <v>1577</v>
      </c>
      <c r="BS80" s="99">
        <f t="shared" si="50"/>
        <v>1536.7683</v>
      </c>
      <c r="BT80" s="99"/>
      <c r="BU80" s="95">
        <f t="shared" si="51"/>
        <v>1517</v>
      </c>
      <c r="BV80" s="96">
        <f t="shared" si="51"/>
        <v>1478.1683</v>
      </c>
      <c r="BW80" s="96"/>
    </row>
    <row r="81" spans="1:76" ht="12.4" customHeight="1">
      <c r="A81" s="100"/>
      <c r="B81" s="126" t="s">
        <v>19</v>
      </c>
      <c r="C81" s="126"/>
      <c r="D81" s="126"/>
      <c r="E81" s="15" t="e">
        <f>E72+#REF!+E51+E43+#REF!+E27+E19+E5+#REF!+#REF!</f>
        <v>#REF!</v>
      </c>
      <c r="F81" s="15" t="e">
        <f>F72+#REF!+F51+F43+#REF!+F27+F19+F5+#REF!+#REF!</f>
        <v>#REF!</v>
      </c>
      <c r="G81" s="15" t="e">
        <f>G72+#REF!+G51+G43+#REF!+G27+G19+G5+#REF!+#REF!</f>
        <v>#REF!</v>
      </c>
      <c r="H81" s="15" t="e">
        <f>H72+#REF!+H51+H43+#REF!+H27+H19+H5+#REF!+#REF!</f>
        <v>#REF!</v>
      </c>
      <c r="I81" s="15" t="e">
        <f>I72+#REF!+I51+I43+#REF!+I27+I19+I5+#REF!+#REF!</f>
        <v>#REF!</v>
      </c>
      <c r="J81" s="15" t="e">
        <f>J72+#REF!+J51+J43+#REF!+J27+J19+J5+#REF!+#REF!</f>
        <v>#REF!</v>
      </c>
      <c r="K81" s="15" t="e">
        <f>K72+#REF!+K51+K43+#REF!+K27+K19+K5+#REF!+#REF!</f>
        <v>#REF!</v>
      </c>
      <c r="L81" s="15" t="e">
        <f>L72+#REF!+L51+L43+#REF!+L27+L19+L5+#REF!+#REF!</f>
        <v>#REF!</v>
      </c>
      <c r="M81" s="15" t="e">
        <f>M72+#REF!+M51+M43+#REF!+M27+M19+M5+#REF!+#REF!</f>
        <v>#REF!</v>
      </c>
      <c r="N81" s="15" t="e">
        <f>N72+#REF!+N51+N43+#REF!+N27+N19+N5+#REF!+#REF!</f>
        <v>#REF!</v>
      </c>
      <c r="O81" s="15" t="e">
        <f>O72+#REF!+O51+O43+#REF!+O27+O19+O5+#REF!+#REF!</f>
        <v>#REF!</v>
      </c>
      <c r="P81" s="15" t="e">
        <f>P72+#REF!+P51+P43+#REF!+P27+P19+P5+#REF!+#REF!</f>
        <v>#REF!</v>
      </c>
      <c r="Q81" s="15">
        <f t="shared" si="52"/>
        <v>16</v>
      </c>
      <c r="R81" s="15">
        <f t="shared" si="52"/>
        <v>5.0500000000000007</v>
      </c>
      <c r="S81" s="15"/>
      <c r="T81" s="15">
        <f t="shared" si="53"/>
        <v>19</v>
      </c>
      <c r="U81" s="15">
        <f t="shared" si="53"/>
        <v>7.7200000000000006</v>
      </c>
      <c r="V81" s="15"/>
      <c r="W81" s="15">
        <f t="shared" si="54"/>
        <v>19</v>
      </c>
      <c r="X81" s="15">
        <f t="shared" si="54"/>
        <v>6.330000000000001</v>
      </c>
      <c r="Y81" s="15"/>
      <c r="Z81" s="15">
        <f t="shared" si="55"/>
        <v>16</v>
      </c>
      <c r="AA81" s="15">
        <f t="shared" si="55"/>
        <v>5.34</v>
      </c>
      <c r="AB81" s="15"/>
      <c r="AC81" s="15">
        <f t="shared" si="56"/>
        <v>10</v>
      </c>
      <c r="AD81" s="15">
        <f t="shared" si="56"/>
        <v>3.96</v>
      </c>
      <c r="AE81" s="15"/>
      <c r="AF81" s="15">
        <f t="shared" si="57"/>
        <v>11</v>
      </c>
      <c r="AG81" s="15">
        <f t="shared" si="57"/>
        <v>4.96</v>
      </c>
      <c r="AH81" s="15"/>
      <c r="AI81" s="15">
        <f t="shared" si="58"/>
        <v>14</v>
      </c>
      <c r="AJ81" s="15">
        <f t="shared" si="58"/>
        <v>7.33</v>
      </c>
      <c r="AK81" s="15"/>
      <c r="AL81" s="15">
        <f t="shared" si="59"/>
        <v>15</v>
      </c>
      <c r="AM81" s="15">
        <f t="shared" si="59"/>
        <v>5.8</v>
      </c>
      <c r="AN81" s="127"/>
      <c r="AO81" s="15">
        <f t="shared" si="60"/>
        <v>16</v>
      </c>
      <c r="AP81" s="16">
        <f t="shared" si="60"/>
        <v>7.07</v>
      </c>
      <c r="AQ81" s="16"/>
      <c r="AR81" s="15">
        <f t="shared" si="61"/>
        <v>16</v>
      </c>
      <c r="AS81" s="16">
        <f t="shared" si="61"/>
        <v>7.91</v>
      </c>
      <c r="AT81" s="16"/>
      <c r="AU81" s="97">
        <f t="shared" si="62"/>
        <v>13</v>
      </c>
      <c r="AV81" s="99">
        <f t="shared" si="62"/>
        <v>9.4600000000000009</v>
      </c>
      <c r="AW81" s="97">
        <f t="shared" si="62"/>
        <v>14</v>
      </c>
      <c r="AX81" s="99">
        <f t="shared" si="62"/>
        <v>6.95</v>
      </c>
      <c r="AY81" s="99"/>
      <c r="AZ81" s="95">
        <f t="shared" si="63"/>
        <v>11</v>
      </c>
      <c r="BA81" s="96">
        <f t="shared" si="63"/>
        <v>6.25</v>
      </c>
      <c r="BB81" s="96"/>
      <c r="BC81" s="97">
        <f t="shared" si="45"/>
        <v>6</v>
      </c>
      <c r="BD81" s="99">
        <f t="shared" si="45"/>
        <v>3.6500000000000004</v>
      </c>
      <c r="BE81" s="99"/>
      <c r="BF81" s="95">
        <f t="shared" si="46"/>
        <v>6</v>
      </c>
      <c r="BG81" s="96">
        <f t="shared" si="46"/>
        <v>2.9050000000000002</v>
      </c>
      <c r="BH81" s="96"/>
      <c r="BI81" s="95">
        <f t="shared" si="47"/>
        <v>9</v>
      </c>
      <c r="BJ81" s="96">
        <f t="shared" si="47"/>
        <v>5.07</v>
      </c>
      <c r="BK81" s="96"/>
      <c r="BL81" s="97">
        <f t="shared" si="48"/>
        <v>14</v>
      </c>
      <c r="BM81" s="99">
        <f t="shared" si="48"/>
        <v>7.4722000000004298</v>
      </c>
      <c r="BN81" s="101"/>
      <c r="BO81" s="95">
        <f t="shared" si="49"/>
        <v>9</v>
      </c>
      <c r="BP81" s="96">
        <f t="shared" si="49"/>
        <v>4.6780999999999997</v>
      </c>
      <c r="BQ81" s="96"/>
      <c r="BR81" s="97">
        <f t="shared" si="50"/>
        <v>10</v>
      </c>
      <c r="BS81" s="99">
        <f t="shared" si="50"/>
        <v>3.7</v>
      </c>
      <c r="BT81" s="99"/>
      <c r="BU81" s="95">
        <f t="shared" si="51"/>
        <v>7</v>
      </c>
      <c r="BV81" s="96">
        <f t="shared" si="51"/>
        <v>1.65</v>
      </c>
      <c r="BW81" s="96"/>
    </row>
    <row r="82" spans="1:76" s="103" customFormat="1" ht="12.4" customHeight="1">
      <c r="A82" s="100"/>
      <c r="B82" s="126" t="s">
        <v>15</v>
      </c>
      <c r="C82" s="126"/>
      <c r="D82" s="126"/>
      <c r="E82" s="15" t="e">
        <f>E73+E60+E52+E44+E30+E28+E20+E6+#REF!+#REF!</f>
        <v>#REF!</v>
      </c>
      <c r="F82" s="15" t="e">
        <f>F73+F60+F52+F44+F30+F28+F20+F6+#REF!+#REF!</f>
        <v>#REF!</v>
      </c>
      <c r="G82" s="15" t="e">
        <f>G73+G60+G52+G44+G30+G28+G20+G6+#REF!+#REF!</f>
        <v>#REF!</v>
      </c>
      <c r="H82" s="15" t="e">
        <f>H73+H60+H52+H44+H30+H28+H20+H6+#REF!+#REF!</f>
        <v>#REF!</v>
      </c>
      <c r="I82" s="15" t="e">
        <f>I73+I60+I52+I44+I30+I28+I20+I6+#REF!+#REF!</f>
        <v>#REF!</v>
      </c>
      <c r="J82" s="15" t="e">
        <f>J73+J60+J52+J44+J30+J28+J20+J6+#REF!+#REF!</f>
        <v>#REF!</v>
      </c>
      <c r="K82" s="15" t="e">
        <f>K73+K60+K52+K44+K30+K28+K20+K6+#REF!+#REF!</f>
        <v>#REF!</v>
      </c>
      <c r="L82" s="15" t="e">
        <f>L73+L60+L52+L44+L30+L28+L20+L6+#REF!+#REF!</f>
        <v>#REF!</v>
      </c>
      <c r="M82" s="15" t="e">
        <f>M73+M60+M52+M44+M30+M28+M20+M6+#REF!+#REF!</f>
        <v>#REF!</v>
      </c>
      <c r="N82" s="15" t="e">
        <f>N73+N60+N52+N44+N30+N28+N20+N6+#REF!+#REF!</f>
        <v>#REF!</v>
      </c>
      <c r="O82" s="15" t="e">
        <f>O73+O60+O52+O44+O30+O28+O20+O6+#REF!+#REF!</f>
        <v>#REF!</v>
      </c>
      <c r="P82" s="15" t="e">
        <f>P73+P60+P52+P44+P30+P28+P20+P6+#REF!+#REF!</f>
        <v>#REF!</v>
      </c>
      <c r="Q82" s="15">
        <f t="shared" si="52"/>
        <v>509</v>
      </c>
      <c r="R82" s="15">
        <f t="shared" si="52"/>
        <v>508.57000000000005</v>
      </c>
      <c r="S82" s="15"/>
      <c r="T82" s="15">
        <f t="shared" si="53"/>
        <v>493</v>
      </c>
      <c r="U82" s="15">
        <f t="shared" si="53"/>
        <v>491.40999999999997</v>
      </c>
      <c r="V82" s="15"/>
      <c r="W82" s="15">
        <f t="shared" si="54"/>
        <v>493</v>
      </c>
      <c r="X82" s="15">
        <f t="shared" si="54"/>
        <v>496.63</v>
      </c>
      <c r="Y82" s="15"/>
      <c r="Z82" s="15">
        <f t="shared" si="55"/>
        <v>479</v>
      </c>
      <c r="AA82" s="15">
        <f t="shared" si="55"/>
        <v>478.37000000000006</v>
      </c>
      <c r="AB82" s="15"/>
      <c r="AC82" s="15">
        <f t="shared" si="56"/>
        <v>473</v>
      </c>
      <c r="AD82" s="15">
        <f t="shared" si="56"/>
        <v>443.56</v>
      </c>
      <c r="AE82" s="15"/>
      <c r="AF82" s="15">
        <f t="shared" si="57"/>
        <v>410</v>
      </c>
      <c r="AG82" s="15">
        <f t="shared" si="57"/>
        <v>383</v>
      </c>
      <c r="AH82" s="15"/>
      <c r="AI82" s="15">
        <f t="shared" si="58"/>
        <v>376</v>
      </c>
      <c r="AJ82" s="15">
        <f t="shared" si="58"/>
        <v>353</v>
      </c>
      <c r="AK82" s="15"/>
      <c r="AL82" s="15">
        <f t="shared" si="59"/>
        <v>343</v>
      </c>
      <c r="AM82" s="15">
        <f t="shared" si="59"/>
        <v>321.84000000000003</v>
      </c>
      <c r="AN82" s="102"/>
      <c r="AO82" s="15">
        <f t="shared" si="60"/>
        <v>344</v>
      </c>
      <c r="AP82" s="16">
        <f t="shared" si="60"/>
        <v>323.10000000000002</v>
      </c>
      <c r="AQ82" s="16"/>
      <c r="AR82" s="15">
        <f t="shared" si="61"/>
        <v>323</v>
      </c>
      <c r="AS82" s="16">
        <f t="shared" si="61"/>
        <v>305.87</v>
      </c>
      <c r="AT82" s="16"/>
      <c r="AU82" s="97">
        <f t="shared" si="62"/>
        <v>323</v>
      </c>
      <c r="AV82" s="99">
        <f t="shared" si="62"/>
        <v>308.12</v>
      </c>
      <c r="AW82" s="97">
        <f t="shared" si="62"/>
        <v>311</v>
      </c>
      <c r="AX82" s="99">
        <f t="shared" si="62"/>
        <v>295.71000000000004</v>
      </c>
      <c r="AY82" s="99"/>
      <c r="AZ82" s="95">
        <f t="shared" si="63"/>
        <v>290</v>
      </c>
      <c r="BA82" s="96">
        <f t="shared" si="63"/>
        <v>277.11</v>
      </c>
      <c r="BB82" s="96"/>
      <c r="BC82" s="97">
        <f t="shared" si="45"/>
        <v>283</v>
      </c>
      <c r="BD82" s="99">
        <f t="shared" si="45"/>
        <v>271.54160000000002</v>
      </c>
      <c r="BE82" s="99"/>
      <c r="BF82" s="95">
        <f t="shared" si="46"/>
        <v>280</v>
      </c>
      <c r="BG82" s="96">
        <f t="shared" si="46"/>
        <v>269.10000000000002</v>
      </c>
      <c r="BH82" s="96"/>
      <c r="BI82" s="95">
        <f t="shared" si="47"/>
        <v>298</v>
      </c>
      <c r="BJ82" s="96">
        <f t="shared" si="47"/>
        <v>287.69</v>
      </c>
      <c r="BK82" s="96"/>
      <c r="BL82" s="97">
        <f t="shared" si="48"/>
        <v>268</v>
      </c>
      <c r="BM82" s="99">
        <f t="shared" si="48"/>
        <v>258.45119999999997</v>
      </c>
      <c r="BN82" s="101"/>
      <c r="BO82" s="95">
        <f t="shared" si="49"/>
        <v>268</v>
      </c>
      <c r="BP82" s="96">
        <f t="shared" si="49"/>
        <v>257.82499999999999</v>
      </c>
      <c r="BQ82" s="96"/>
      <c r="BR82" s="97">
        <f t="shared" si="50"/>
        <v>257</v>
      </c>
      <c r="BS82" s="99">
        <f t="shared" si="50"/>
        <v>244.33750000000003</v>
      </c>
      <c r="BT82" s="99"/>
      <c r="BU82" s="95">
        <f t="shared" si="51"/>
        <v>238</v>
      </c>
      <c r="BV82" s="96">
        <f t="shared" si="51"/>
        <v>228.52499999999998</v>
      </c>
      <c r="BW82" s="96"/>
    </row>
    <row r="83" spans="1:76" s="2" customFormat="1" ht="12.4" customHeight="1">
      <c r="A83" s="100"/>
      <c r="B83" s="126" t="s">
        <v>21</v>
      </c>
      <c r="C83" s="126"/>
      <c r="D83" s="126"/>
      <c r="E83" s="15" t="e">
        <f>E74+E61+E53+E45+E31+E29+E21+E7+#REF!+#REF!</f>
        <v>#REF!</v>
      </c>
      <c r="F83" s="15" t="e">
        <f>F74+F61+F53+F45+F31+F29+F21+F7+#REF!+#REF!</f>
        <v>#REF!</v>
      </c>
      <c r="G83" s="15" t="e">
        <f>G74+G61+G53+G45+G31+G29+G21+G7+#REF!+#REF!</f>
        <v>#REF!</v>
      </c>
      <c r="H83" s="15" t="e">
        <f>H74+H61+H53+H45+H31+H29+H21+H7+#REF!+#REF!</f>
        <v>#REF!</v>
      </c>
      <c r="I83" s="15" t="e">
        <f>I74+I61+I53+I45+I31+I29+I21+I7+#REF!+#REF!</f>
        <v>#REF!</v>
      </c>
      <c r="J83" s="15" t="e">
        <f>J74+J61+J53+J45+J31+J29+J21+J7+#REF!+#REF!</f>
        <v>#REF!</v>
      </c>
      <c r="K83" s="15" t="e">
        <f>K74+K61+K53+K45+K31+K29+K21+K7+#REF!+#REF!</f>
        <v>#REF!</v>
      </c>
      <c r="L83" s="15" t="e">
        <f>L74+L61+L53+L45+L31+L29+L21+L7+#REF!+#REF!</f>
        <v>#REF!</v>
      </c>
      <c r="M83" s="15" t="e">
        <f>M74+M61+M53+M45+M31+M29+M21+M7+#REF!+#REF!</f>
        <v>#REF!</v>
      </c>
      <c r="N83" s="15" t="e">
        <f>N74+N61+N53+N45+N31+N29+N21+N7+#REF!+#REF!</f>
        <v>#REF!</v>
      </c>
      <c r="O83" s="15" t="e">
        <f>O74+O61+O53+O45+O31+O29+O21+O7+#REF!+#REF!</f>
        <v>#REF!</v>
      </c>
      <c r="P83" s="15" t="e">
        <f>P74+P61+P53+P45+P31+P29+P21+P7+#REF!+#REF!</f>
        <v>#REF!</v>
      </c>
      <c r="Q83" s="15">
        <f t="shared" si="52"/>
        <v>180</v>
      </c>
      <c r="R83" s="15">
        <f t="shared" si="52"/>
        <v>159.47</v>
      </c>
      <c r="S83" s="15"/>
      <c r="T83" s="15">
        <f t="shared" si="53"/>
        <v>163</v>
      </c>
      <c r="U83" s="15">
        <f t="shared" si="53"/>
        <v>140.99</v>
      </c>
      <c r="V83" s="15"/>
      <c r="W83" s="15">
        <f t="shared" si="54"/>
        <v>173</v>
      </c>
      <c r="X83" s="15">
        <f t="shared" si="54"/>
        <v>143.01999999999998</v>
      </c>
      <c r="Y83" s="15"/>
      <c r="Z83" s="15">
        <f t="shared" si="55"/>
        <v>161</v>
      </c>
      <c r="AA83" s="15">
        <f t="shared" si="55"/>
        <v>135.16</v>
      </c>
      <c r="AB83" s="15"/>
      <c r="AC83" s="15">
        <f t="shared" si="56"/>
        <v>187</v>
      </c>
      <c r="AD83" s="15">
        <f t="shared" si="56"/>
        <v>156</v>
      </c>
      <c r="AE83" s="15"/>
      <c r="AF83" s="15">
        <f t="shared" si="57"/>
        <v>208</v>
      </c>
      <c r="AG83" s="15">
        <f t="shared" si="57"/>
        <v>172</v>
      </c>
      <c r="AH83" s="15"/>
      <c r="AI83" s="15">
        <f t="shared" si="58"/>
        <v>215</v>
      </c>
      <c r="AJ83" s="15">
        <f t="shared" si="58"/>
        <v>180</v>
      </c>
      <c r="AK83" s="15"/>
      <c r="AL83" s="15">
        <f t="shared" si="59"/>
        <v>229</v>
      </c>
      <c r="AM83" s="15">
        <f t="shared" si="59"/>
        <v>201.34000000000003</v>
      </c>
      <c r="AN83" s="104"/>
      <c r="AO83" s="15">
        <f t="shared" si="60"/>
        <v>244</v>
      </c>
      <c r="AP83" s="16">
        <f t="shared" si="60"/>
        <v>235.07</v>
      </c>
      <c r="AQ83" s="16"/>
      <c r="AR83" s="15">
        <f t="shared" si="61"/>
        <v>255</v>
      </c>
      <c r="AS83" s="16">
        <f t="shared" si="61"/>
        <v>245.07</v>
      </c>
      <c r="AT83" s="16"/>
      <c r="AU83" s="97">
        <f t="shared" si="62"/>
        <v>241</v>
      </c>
      <c r="AV83" s="99">
        <f t="shared" si="62"/>
        <v>229.09</v>
      </c>
      <c r="AW83" s="97">
        <f t="shared" si="62"/>
        <v>250</v>
      </c>
      <c r="AX83" s="99">
        <f t="shared" si="62"/>
        <v>241.45</v>
      </c>
      <c r="AY83" s="99"/>
      <c r="AZ83" s="95">
        <f t="shared" si="63"/>
        <v>267</v>
      </c>
      <c r="BA83" s="96">
        <f t="shared" si="63"/>
        <v>255.92</v>
      </c>
      <c r="BB83" s="96"/>
      <c r="BC83" s="97">
        <f t="shared" si="45"/>
        <v>280</v>
      </c>
      <c r="BD83" s="99">
        <f t="shared" si="45"/>
        <v>267.7167</v>
      </c>
      <c r="BE83" s="99"/>
      <c r="BF83" s="95">
        <f t="shared" si="46"/>
        <v>210</v>
      </c>
      <c r="BG83" s="96">
        <f t="shared" si="46"/>
        <v>205.61679999999998</v>
      </c>
      <c r="BH83" s="96"/>
      <c r="BI83" s="95">
        <f t="shared" si="47"/>
        <v>217</v>
      </c>
      <c r="BJ83" s="96">
        <f t="shared" si="47"/>
        <v>209.84</v>
      </c>
      <c r="BK83" s="96"/>
      <c r="BL83" s="97">
        <f t="shared" si="48"/>
        <v>231</v>
      </c>
      <c r="BM83" s="99">
        <f t="shared" si="48"/>
        <v>224.81499999999997</v>
      </c>
      <c r="BN83" s="101"/>
      <c r="BO83" s="95">
        <f t="shared" si="49"/>
        <v>228</v>
      </c>
      <c r="BP83" s="96">
        <f t="shared" si="49"/>
        <v>223.57500000000002</v>
      </c>
      <c r="BQ83" s="96"/>
      <c r="BR83" s="97">
        <f t="shared" si="50"/>
        <v>234</v>
      </c>
      <c r="BS83" s="99">
        <f t="shared" si="50"/>
        <v>230.11</v>
      </c>
      <c r="BT83" s="99"/>
      <c r="BU83" s="95">
        <f t="shared" si="51"/>
        <v>243</v>
      </c>
      <c r="BV83" s="96">
        <f t="shared" si="51"/>
        <v>238.9</v>
      </c>
      <c r="BW83" s="96"/>
    </row>
    <row r="84" spans="1:76" s="3" customFormat="1" ht="12.4" customHeight="1">
      <c r="A84" s="100"/>
      <c r="B84" s="126" t="s">
        <v>20</v>
      </c>
      <c r="C84" s="126"/>
      <c r="D84" s="126"/>
      <c r="E84" s="15" t="e">
        <f>E75+E62+#REF!+#REF!+E32+#REF!+#REF!+E8+#REF!+#REF!</f>
        <v>#REF!</v>
      </c>
      <c r="F84" s="15" t="e">
        <f>F75+F62+#REF!+#REF!+F32+#REF!+#REF!+F8+#REF!+#REF!</f>
        <v>#REF!</v>
      </c>
      <c r="G84" s="15" t="e">
        <f>G75+G62+#REF!+#REF!+G32+#REF!+#REF!+G8+#REF!+#REF!</f>
        <v>#REF!</v>
      </c>
      <c r="H84" s="15" t="e">
        <f>H75+H62+#REF!+#REF!+H32+#REF!+#REF!+H8+#REF!+#REF!</f>
        <v>#REF!</v>
      </c>
      <c r="I84" s="15" t="e">
        <f>I75+I62+#REF!+#REF!+I32+#REF!+#REF!+I8+#REF!+#REF!</f>
        <v>#REF!</v>
      </c>
      <c r="J84" s="15" t="e">
        <f>J75+J62+#REF!+#REF!+J32+#REF!+#REF!+J8+#REF!+#REF!</f>
        <v>#REF!</v>
      </c>
      <c r="K84" s="15" t="e">
        <f>K75+K62+#REF!+#REF!+K32+#REF!+#REF!+K8+#REF!+#REF!</f>
        <v>#REF!</v>
      </c>
      <c r="L84" s="15" t="e">
        <f>L75+L62+#REF!+#REF!+L32+#REF!+#REF!+L8+#REF!+#REF!</f>
        <v>#REF!</v>
      </c>
      <c r="M84" s="15" t="e">
        <f>M75+M62+#REF!+#REF!+M32+#REF!+#REF!+M8+#REF!+#REF!</f>
        <v>#REF!</v>
      </c>
      <c r="N84" s="15" t="e">
        <f>N75+N62+#REF!+#REF!+N32+#REF!+#REF!+N8+#REF!+#REF!</f>
        <v>#REF!</v>
      </c>
      <c r="O84" s="15" t="e">
        <f>O75+O62+#REF!+#REF!+O32+#REF!+#REF!+O8+#REF!+#REF!</f>
        <v>#REF!</v>
      </c>
      <c r="P84" s="15" t="e">
        <f>P75+P62+#REF!+#REF!+P32+#REF!+#REF!+P8+#REF!+#REF!</f>
        <v>#REF!</v>
      </c>
      <c r="Q84" s="15">
        <f t="shared" si="52"/>
        <v>1811</v>
      </c>
      <c r="R84" s="15">
        <f t="shared" si="52"/>
        <v>870.88</v>
      </c>
      <c r="S84" s="15"/>
      <c r="T84" s="15">
        <f t="shared" si="53"/>
        <v>1779</v>
      </c>
      <c r="U84" s="15">
        <f t="shared" si="53"/>
        <v>860.99</v>
      </c>
      <c r="V84" s="15"/>
      <c r="W84" s="15">
        <f t="shared" si="54"/>
        <v>1828</v>
      </c>
      <c r="X84" s="15">
        <f t="shared" si="54"/>
        <v>891.93000000000006</v>
      </c>
      <c r="Y84" s="15"/>
      <c r="Z84" s="15">
        <f t="shared" si="55"/>
        <v>1875</v>
      </c>
      <c r="AA84" s="15">
        <f t="shared" si="55"/>
        <v>898.76999999999987</v>
      </c>
      <c r="AB84" s="15"/>
      <c r="AC84" s="15">
        <f t="shared" si="56"/>
        <v>1888</v>
      </c>
      <c r="AD84" s="15">
        <f t="shared" si="56"/>
        <v>904</v>
      </c>
      <c r="AE84" s="15"/>
      <c r="AF84" s="15">
        <f t="shared" si="57"/>
        <v>1931</v>
      </c>
      <c r="AG84" s="15">
        <f t="shared" si="57"/>
        <v>912</v>
      </c>
      <c r="AH84" s="15"/>
      <c r="AI84" s="15">
        <f t="shared" si="58"/>
        <v>2066</v>
      </c>
      <c r="AJ84" s="15">
        <f t="shared" si="58"/>
        <v>919</v>
      </c>
      <c r="AK84" s="15"/>
      <c r="AL84" s="15">
        <f t="shared" si="59"/>
        <v>2090</v>
      </c>
      <c r="AM84" s="15">
        <f t="shared" si="59"/>
        <v>935.91</v>
      </c>
      <c r="AO84" s="15">
        <f t="shared" si="60"/>
        <v>2430</v>
      </c>
      <c r="AP84" s="16">
        <f t="shared" si="60"/>
        <v>1178.01</v>
      </c>
      <c r="AQ84" s="16"/>
      <c r="AR84" s="15">
        <f t="shared" si="61"/>
        <v>2621</v>
      </c>
      <c r="AS84" s="16">
        <f t="shared" si="61"/>
        <v>1254.7799999999997</v>
      </c>
      <c r="AT84" s="16"/>
      <c r="AU84" s="97">
        <f t="shared" si="62"/>
        <v>2715</v>
      </c>
      <c r="AV84" s="99">
        <f t="shared" si="62"/>
        <v>1299.8600000000001</v>
      </c>
      <c r="AW84" s="97">
        <f t="shared" si="62"/>
        <v>2733</v>
      </c>
      <c r="AX84" s="99">
        <f t="shared" si="62"/>
        <v>1321.97</v>
      </c>
      <c r="AY84" s="99"/>
      <c r="AZ84" s="95">
        <f t="shared" si="63"/>
        <v>2818</v>
      </c>
      <c r="BA84" s="96">
        <f t="shared" si="63"/>
        <v>1349.1599999999999</v>
      </c>
      <c r="BB84" s="96"/>
      <c r="BC84" s="97">
        <f t="shared" si="45"/>
        <v>2713</v>
      </c>
      <c r="BD84" s="99">
        <f t="shared" si="45"/>
        <v>1303.2885999999999</v>
      </c>
      <c r="BE84" s="99"/>
      <c r="BF84" s="95">
        <f t="shared" si="46"/>
        <v>2366</v>
      </c>
      <c r="BG84" s="96">
        <f t="shared" si="46"/>
        <v>1114.45</v>
      </c>
      <c r="BH84" s="96"/>
      <c r="BI84" s="95">
        <f t="shared" si="47"/>
        <v>2258</v>
      </c>
      <c r="BJ84" s="96">
        <f t="shared" si="47"/>
        <v>1052.72</v>
      </c>
      <c r="BK84" s="96"/>
      <c r="BL84" s="97">
        <f t="shared" si="48"/>
        <v>2382</v>
      </c>
      <c r="BM84" s="99">
        <f t="shared" si="48"/>
        <v>1099.845</v>
      </c>
      <c r="BN84" s="101"/>
      <c r="BO84" s="95">
        <f t="shared" si="49"/>
        <v>2315</v>
      </c>
      <c r="BP84" s="96">
        <f t="shared" si="49"/>
        <v>1112.6001999999989</v>
      </c>
      <c r="BQ84" s="96"/>
      <c r="BR84" s="97">
        <f t="shared" si="50"/>
        <v>2385</v>
      </c>
      <c r="BS84" s="99">
        <f t="shared" si="50"/>
        <v>1090.8081</v>
      </c>
      <c r="BT84" s="99"/>
      <c r="BU84" s="95">
        <f t="shared" si="51"/>
        <v>2393</v>
      </c>
      <c r="BV84" s="96">
        <f t="shared" si="51"/>
        <v>1146.3892000000001</v>
      </c>
      <c r="BW84" s="96"/>
      <c r="BX84" s="118"/>
    </row>
    <row r="85" spans="1:76" ht="5.25" customHeight="1">
      <c r="A85" s="26"/>
      <c r="B85" s="26"/>
      <c r="C85" s="26"/>
      <c r="D85" s="26"/>
      <c r="AN85" s="3"/>
      <c r="AO85" s="18"/>
      <c r="AP85" s="19"/>
      <c r="AQ85" s="19"/>
      <c r="AR85" s="27"/>
      <c r="AS85" s="28"/>
      <c r="AT85" s="28"/>
      <c r="AU85" s="55"/>
      <c r="AV85" s="56"/>
      <c r="AW85" s="66"/>
      <c r="AX85" s="67"/>
      <c r="AY85" s="67"/>
      <c r="AZ85" s="68"/>
      <c r="BA85" s="69"/>
      <c r="BB85" s="69"/>
      <c r="BC85" s="66"/>
      <c r="BD85" s="67"/>
      <c r="BE85" s="67"/>
      <c r="BF85" s="68"/>
      <c r="BG85" s="69"/>
      <c r="BH85" s="69"/>
      <c r="BI85" s="68"/>
      <c r="BJ85" s="69"/>
      <c r="BK85" s="69"/>
      <c r="BL85" s="77"/>
      <c r="BM85" s="78"/>
      <c r="BN85" s="78"/>
      <c r="BO85" s="68"/>
      <c r="BP85" s="69"/>
      <c r="BQ85" s="69"/>
      <c r="BR85" s="66"/>
      <c r="BS85" s="67"/>
      <c r="BT85" s="67"/>
      <c r="BU85" s="68"/>
      <c r="BV85" s="69"/>
      <c r="BW85" s="69"/>
    </row>
    <row r="86" spans="1:76" s="3" customFormat="1" ht="12" customHeight="1">
      <c r="A86" s="10"/>
      <c r="B86" s="10"/>
      <c r="C86" s="10"/>
      <c r="D86" s="10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O86" s="17"/>
      <c r="AP86" s="14"/>
      <c r="AQ86" s="14"/>
      <c r="AR86" s="17"/>
      <c r="AS86" s="14"/>
      <c r="AT86" s="14"/>
      <c r="AU86" s="17"/>
      <c r="AV86" s="14"/>
      <c r="AW86" s="17"/>
      <c r="AX86" s="14"/>
      <c r="AY86" s="14"/>
      <c r="AZ86" s="17"/>
      <c r="BA86" s="14"/>
      <c r="BB86" s="14"/>
      <c r="BC86" s="17"/>
      <c r="BD86" s="14"/>
      <c r="BE86" s="14"/>
      <c r="BF86" s="17"/>
      <c r="BG86" s="14"/>
      <c r="BH86" s="14"/>
      <c r="BI86" s="82"/>
      <c r="BJ86" s="83"/>
      <c r="BK86" s="83"/>
      <c r="BL86" s="82"/>
      <c r="BM86" s="83"/>
      <c r="BN86" s="14"/>
      <c r="BO86" s="82"/>
      <c r="BP86" s="83"/>
      <c r="BQ86" s="83"/>
      <c r="BR86" s="82"/>
      <c r="BS86" s="83"/>
      <c r="BT86" s="83"/>
      <c r="BU86" s="82"/>
      <c r="BV86" s="83"/>
      <c r="BW86" s="83"/>
    </row>
    <row r="87" spans="1:76" s="3" customFormat="1" ht="12" customHeight="1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O87" s="15"/>
      <c r="AP87" s="16"/>
      <c r="AQ87" s="16"/>
      <c r="AR87" s="15"/>
      <c r="AS87" s="16"/>
      <c r="AT87" s="16"/>
      <c r="AU87" s="15"/>
      <c r="AV87" s="16"/>
      <c r="AW87" s="15"/>
      <c r="AX87" s="16"/>
      <c r="AY87" s="16"/>
      <c r="AZ87" s="15"/>
      <c r="BA87" s="16"/>
      <c r="BB87" s="16"/>
      <c r="BC87" s="15"/>
      <c r="BD87" s="16"/>
      <c r="BE87" s="16"/>
      <c r="BF87" s="15"/>
      <c r="BG87" s="16"/>
      <c r="BH87" s="16"/>
      <c r="BI87" s="90"/>
      <c r="BJ87" s="91"/>
      <c r="BK87" s="91"/>
      <c r="BL87" s="15"/>
      <c r="BM87" s="16"/>
      <c r="BN87" s="16"/>
      <c r="BO87" s="90"/>
      <c r="BP87" s="91"/>
      <c r="BQ87" s="91"/>
      <c r="BR87" s="90"/>
      <c r="BS87" s="91"/>
      <c r="BT87" s="91"/>
      <c r="BU87" s="90"/>
      <c r="BV87" s="91"/>
      <c r="BW87" s="91"/>
    </row>
    <row r="88" spans="1:76" s="59" customFormat="1" ht="14.25">
      <c r="A88" s="58" t="s">
        <v>55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</row>
    <row r="89" spans="1:76" s="59" customFormat="1" ht="13.9" customHeight="1">
      <c r="A89" s="92" t="s">
        <v>54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</row>
    <row r="90" spans="1:76" s="59" customFormat="1" ht="13.9" customHeight="1">
      <c r="A90" s="60" t="s">
        <v>37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</row>
    <row r="91" spans="1:76" s="59" customFormat="1" ht="13.9" customHeight="1">
      <c r="A91" s="57" t="s">
        <v>53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</row>
    <row r="92" spans="1:76" s="71" customFormat="1" ht="13.9" customHeight="1">
      <c r="A92" s="72" t="s">
        <v>52</v>
      </c>
    </row>
    <row r="93" spans="1:76" s="71" customFormat="1" ht="13.9" customHeight="1">
      <c r="A93" s="57" t="s">
        <v>56</v>
      </c>
    </row>
    <row r="94" spans="1:76" s="8" customFormat="1" ht="1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</row>
    <row r="95" spans="1:76">
      <c r="A95" s="137" t="s">
        <v>51</v>
      </c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137"/>
      <c r="BK95" s="137"/>
      <c r="BL95" s="137"/>
      <c r="BM95" s="137"/>
      <c r="BN95" s="137"/>
      <c r="BO95" s="137"/>
      <c r="BP95" s="137"/>
      <c r="BQ95" s="137"/>
      <c r="BR95" s="31"/>
      <c r="BS95" s="31"/>
      <c r="BT95" s="31"/>
      <c r="BU95" s="31"/>
      <c r="BV95" s="31"/>
      <c r="BW95" s="31"/>
    </row>
    <row r="96" spans="1:76">
      <c r="A96" s="73" t="s">
        <v>43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</row>
  </sheetData>
  <mergeCells count="114">
    <mergeCell ref="B36:D36"/>
    <mergeCell ref="B37:D37"/>
    <mergeCell ref="B39:D39"/>
    <mergeCell ref="B40:D40"/>
    <mergeCell ref="AL58:AM58"/>
    <mergeCell ref="AR4:AT4"/>
    <mergeCell ref="A95:BQ95"/>
    <mergeCell ref="B83:D83"/>
    <mergeCell ref="B84:D84"/>
    <mergeCell ref="B78:D78"/>
    <mergeCell ref="B79:D79"/>
    <mergeCell ref="B80:D80"/>
    <mergeCell ref="B81:D81"/>
    <mergeCell ref="B82:D82"/>
    <mergeCell ref="B71:D71"/>
    <mergeCell ref="B72:D72"/>
    <mergeCell ref="B73:D73"/>
    <mergeCell ref="B74:D74"/>
    <mergeCell ref="B75:D75"/>
    <mergeCell ref="A77:D77"/>
    <mergeCell ref="AW4:AY4"/>
    <mergeCell ref="AZ4:BB4"/>
    <mergeCell ref="AU4:AV4"/>
    <mergeCell ref="B9:D9"/>
    <mergeCell ref="A6:D6"/>
    <mergeCell ref="A5:D5"/>
    <mergeCell ref="B32:D32"/>
    <mergeCell ref="B10:D10"/>
    <mergeCell ref="B11:D11"/>
    <mergeCell ref="B12:D12"/>
    <mergeCell ref="B13:D13"/>
    <mergeCell ref="A14:D14"/>
    <mergeCell ref="A22:D22"/>
    <mergeCell ref="A30:D30"/>
    <mergeCell ref="B8:D8"/>
    <mergeCell ref="B26:D26"/>
    <mergeCell ref="B27:D27"/>
    <mergeCell ref="B28:D28"/>
    <mergeCell ref="B29:D29"/>
    <mergeCell ref="A38:D38"/>
    <mergeCell ref="A46:D46"/>
    <mergeCell ref="A54:BB5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25:D25"/>
    <mergeCell ref="B49:D49"/>
    <mergeCell ref="B50:D50"/>
    <mergeCell ref="B51:D51"/>
    <mergeCell ref="B42:D42"/>
    <mergeCell ref="B48:D48"/>
    <mergeCell ref="B33:D33"/>
    <mergeCell ref="B34:D34"/>
    <mergeCell ref="B41:D41"/>
    <mergeCell ref="B31:D31"/>
    <mergeCell ref="AN8:AN37"/>
    <mergeCell ref="B35:D35"/>
    <mergeCell ref="B43:D43"/>
    <mergeCell ref="B44:D44"/>
    <mergeCell ref="B45:D45"/>
    <mergeCell ref="B47:D47"/>
    <mergeCell ref="AN61:AN81"/>
    <mergeCell ref="B66:D66"/>
    <mergeCell ref="B67:D67"/>
    <mergeCell ref="B69:D69"/>
    <mergeCell ref="B70:D70"/>
    <mergeCell ref="B62:D62"/>
    <mergeCell ref="B63:D63"/>
    <mergeCell ref="B64:D64"/>
    <mergeCell ref="B65:D65"/>
    <mergeCell ref="B61:D61"/>
    <mergeCell ref="A57:BB57"/>
    <mergeCell ref="B53:D53"/>
    <mergeCell ref="B52:D52"/>
    <mergeCell ref="A59:D59"/>
    <mergeCell ref="A60:D60"/>
    <mergeCell ref="A68:D68"/>
    <mergeCell ref="AR58:AT58"/>
    <mergeCell ref="AU58:AV58"/>
    <mergeCell ref="W58:X58"/>
    <mergeCell ref="Z58:AA58"/>
    <mergeCell ref="AC58:AD58"/>
    <mergeCell ref="AF58:AG58"/>
    <mergeCell ref="BR4:BT4"/>
    <mergeCell ref="BR58:BT58"/>
    <mergeCell ref="BL4:BN4"/>
    <mergeCell ref="BL58:BN58"/>
    <mergeCell ref="BI4:BK4"/>
    <mergeCell ref="BI58:BK58"/>
    <mergeCell ref="AI58:AJ58"/>
    <mergeCell ref="AO58:AP58"/>
    <mergeCell ref="AO4:AP4"/>
    <mergeCell ref="W4:X4"/>
    <mergeCell ref="Z4:AA4"/>
    <mergeCell ref="AC4:AD4"/>
    <mergeCell ref="AF4:AG4"/>
    <mergeCell ref="AI4:AJ4"/>
    <mergeCell ref="AL4:AM4"/>
    <mergeCell ref="BU4:BW4"/>
    <mergeCell ref="BU58:BW58"/>
    <mergeCell ref="BC4:BE4"/>
    <mergeCell ref="BC58:BE58"/>
    <mergeCell ref="BO4:BQ4"/>
    <mergeCell ref="BO58:BQ58"/>
    <mergeCell ref="BF4:BH4"/>
    <mergeCell ref="BF58:BH58"/>
    <mergeCell ref="AW58:AY58"/>
    <mergeCell ref="AZ58:BB58"/>
  </mergeCells>
  <phoneticPr fontId="0" type="noConversion"/>
  <printOptions horizontalCentered="1"/>
  <pageMargins left="0.5" right="0.5" top="0.5" bottom="0.5" header="0.3" footer="0.3"/>
  <pageSetup scale="86" fitToHeight="2" orientation="landscape" horizontalDpi="1200" verticalDpi="1200" r:id="rId1"/>
  <headerFooter alignWithMargins="0"/>
  <rowBreaks count="1" manualBreakCount="1">
    <brk id="54" max="7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Headcount FTE College</vt:lpstr>
      <vt:lpstr>'Personnel Headcount FTE College'!Print_Area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Bickelhaupt, Sarah E [I RES]</dc:creator>
  <cp:lastModifiedBy>Andringa, Chris [I RES]</cp:lastModifiedBy>
  <cp:lastPrinted>2024-12-20T18:42:48Z</cp:lastPrinted>
  <dcterms:created xsi:type="dcterms:W3CDTF">1999-11-10T22:42:55Z</dcterms:created>
  <dcterms:modified xsi:type="dcterms:W3CDTF">2025-01-15T17:41:03Z</dcterms:modified>
</cp:coreProperties>
</file>