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for Review\"/>
    </mc:Choice>
  </mc:AlternateContent>
  <xr:revisionPtr revIDLastSave="0" documentId="13_ncr:1_{D49DDEA1-C1AB-472E-B6B5-B6B9950A2AEC}" xr6:coauthVersionLast="47" xr6:coauthVersionMax="47" xr10:uidLastSave="{00000000-0000-0000-0000-000000000000}"/>
  <bookViews>
    <workbookView xWindow="32760" yWindow="465" windowWidth="23580" windowHeight="16125" tabRatio="921" xr2:uid="{00000000-000D-0000-FFFF-FFFF00000000}"/>
  </bookViews>
  <sheets>
    <sheet name="SCH by College &amp; Level_FY" sheetId="1" r:id="rId1"/>
    <sheet name="Data for Table (Page1)" sheetId="9" state="hidden" r:id="rId2"/>
    <sheet name="Data &amp; Chart_Pie Chart (Page 2)" sheetId="2" state="hidden" r:id="rId3"/>
    <sheet name="Data &amp; Chart_UG Bar (Page 2)" sheetId="5" state="hidden" r:id="rId4"/>
    <sheet name="Data &amp; Chart_UG Line (Page 2)" sheetId="3" state="hidden" r:id="rId5"/>
    <sheet name="Data &amp; Chart_Grad Bar (Page 3)" sheetId="6" state="hidden" r:id="rId6"/>
    <sheet name="Data &amp; Chart_Grad Line (Page 3)" sheetId="4" state="hidden" r:id="rId7"/>
    <sheet name="Data Prep_Line Graph (Page 3)" sheetId="7" state="hidden" r:id="rId8"/>
  </sheets>
  <definedNames>
    <definedName name="_xlnm.Print_Area" localSheetId="2">'Data &amp; Chart_Pie Chart (Page 2)'!$A$1:$I$57</definedName>
    <definedName name="_xlnm.Print_Area" localSheetId="0">'SCH by College &amp; Level_FY'!$A$1:$BB$73</definedName>
    <definedName name="qryFall00_on_over_load">#REF!</definedName>
    <definedName name="qryFall01_Ind_Inst">#REF!</definedName>
    <definedName name="qryFall01_on_over_load">#REF!</definedName>
    <definedName name="qryFall01_Vet_Med_by_level">#REF!</definedName>
    <definedName name="qrySP01_BUS">#REF!</definedName>
    <definedName name="qrySP01_EDUC">#REF!</definedName>
    <definedName name="qrySP01_Ind_Inst">#REF!</definedName>
    <definedName name="qrySP01_Vet_Med_by_level">#REF!</definedName>
    <definedName name="qrySP01Ind_Inst">#REF!</definedName>
    <definedName name="qrySpr00_Ind_Inst">#REF!</definedName>
    <definedName name="qrySum00_Vet_Med_by_leve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7" i="5" l="1"/>
  <c r="R2" i="5"/>
  <c r="AK61" i="1"/>
  <c r="AK62" i="1"/>
  <c r="AK63" i="1"/>
  <c r="AK64" i="1"/>
  <c r="AK56" i="1"/>
  <c r="AK57" i="1"/>
  <c r="AK58" i="1"/>
  <c r="AK50" i="1"/>
  <c r="AK51" i="1"/>
  <c r="AK52" i="1"/>
  <c r="AK53" i="1"/>
  <c r="AK44" i="1"/>
  <c r="AK45" i="1"/>
  <c r="AK46" i="1"/>
  <c r="AK47" i="1"/>
  <c r="AK39" i="1"/>
  <c r="AK40" i="1"/>
  <c r="AK41" i="1"/>
  <c r="AK28" i="1"/>
  <c r="AK29" i="1"/>
  <c r="AK30" i="1"/>
  <c r="AK31" i="1"/>
  <c r="AK18" i="1"/>
  <c r="AK19" i="1"/>
  <c r="AK20" i="1"/>
  <c r="AK13" i="1"/>
  <c r="AK14" i="1"/>
  <c r="AK15" i="1"/>
  <c r="AK7" i="1"/>
  <c r="AK8" i="1"/>
  <c r="AK9" i="1"/>
  <c r="AK10" i="1"/>
  <c r="AJ56" i="1"/>
  <c r="AJ59" i="1" s="1"/>
  <c r="AJ57" i="1"/>
  <c r="AJ58" i="1"/>
  <c r="AJ50" i="1"/>
  <c r="AJ54" i="1" s="1"/>
  <c r="AJ51" i="1"/>
  <c r="AJ52" i="1"/>
  <c r="AJ53" i="1"/>
  <c r="AJ44" i="1"/>
  <c r="AJ48" i="1" s="1"/>
  <c r="AJ45" i="1"/>
  <c r="AJ46" i="1"/>
  <c r="AJ47" i="1"/>
  <c r="AJ39" i="1"/>
  <c r="AJ42" i="1" s="1"/>
  <c r="AJ40" i="1"/>
  <c r="AJ41" i="1"/>
  <c r="AJ28" i="1"/>
  <c r="AJ32" i="1" s="1"/>
  <c r="AJ29" i="1"/>
  <c r="AJ30" i="1"/>
  <c r="AJ31" i="1"/>
  <c r="AJ18" i="1"/>
  <c r="AJ21" i="1" s="1"/>
  <c r="AJ19" i="1"/>
  <c r="AJ20" i="1"/>
  <c r="AJ13" i="1"/>
  <c r="AJ16" i="1" s="1"/>
  <c r="AJ14" i="1"/>
  <c r="AJ15" i="1"/>
  <c r="AJ8" i="1"/>
  <c r="AJ9" i="1"/>
  <c r="AJ10" i="1"/>
  <c r="AJ7" i="1"/>
  <c r="AJ11" i="1" s="1"/>
  <c r="AJ64" i="1"/>
  <c r="AJ63" i="1"/>
  <c r="AJ62" i="1"/>
  <c r="AJ61" i="1"/>
  <c r="AJ65" i="1"/>
  <c r="AJ36" i="1"/>
  <c r="AJ35" i="1"/>
  <c r="AJ34" i="1"/>
  <c r="AJ37" i="1" s="1"/>
  <c r="AJ25" i="1"/>
  <c r="AJ24" i="1"/>
  <c r="AJ23" i="1"/>
  <c r="AJ26" i="1" s="1"/>
  <c r="AJ235" i="9"/>
  <c r="AJ234" i="9"/>
  <c r="AJ233" i="9"/>
  <c r="AJ227" i="9"/>
  <c r="AJ222" i="9"/>
  <c r="AJ217" i="9"/>
  <c r="AJ213" i="9"/>
  <c r="AJ212" i="9"/>
  <c r="AJ211" i="9"/>
  <c r="AJ210" i="9"/>
  <c r="AJ203" i="9"/>
  <c r="AJ197" i="9"/>
  <c r="AJ191" i="9"/>
  <c r="AJ187" i="9"/>
  <c r="AJ186" i="9"/>
  <c r="AJ185" i="9"/>
  <c r="AJ184" i="9"/>
  <c r="AJ177" i="9"/>
  <c r="AJ171" i="9"/>
  <c r="AJ165" i="9"/>
  <c r="AJ160" i="9"/>
  <c r="AJ159" i="9"/>
  <c r="AJ161" i="9"/>
  <c r="AJ148" i="9"/>
  <c r="AJ143" i="9"/>
  <c r="AJ117" i="9"/>
  <c r="AJ116" i="9"/>
  <c r="AJ115" i="9"/>
  <c r="AJ114" i="9"/>
  <c r="AJ107" i="9"/>
  <c r="AJ94" i="9" s="1"/>
  <c r="AJ101" i="9"/>
  <c r="AJ95" i="9"/>
  <c r="AJ68" i="9"/>
  <c r="AJ67" i="9"/>
  <c r="AJ69" i="9"/>
  <c r="AJ61" i="9"/>
  <c r="AJ56" i="9"/>
  <c r="AJ51" i="9"/>
  <c r="AJ47" i="9"/>
  <c r="AJ46" i="9"/>
  <c r="AJ45" i="9"/>
  <c r="AJ39" i="9"/>
  <c r="AJ34" i="9"/>
  <c r="AJ29" i="9"/>
  <c r="AJ24" i="9"/>
  <c r="AJ23" i="9"/>
  <c r="AJ22" i="9"/>
  <c r="AJ25" i="9"/>
  <c r="AJ15" i="9"/>
  <c r="AJ9" i="9"/>
  <c r="AJ3" i="9"/>
  <c r="AI235" i="9"/>
  <c r="AI234" i="9"/>
  <c r="AI233" i="9"/>
  <c r="AI227" i="9"/>
  <c r="AI222" i="9"/>
  <c r="AI217" i="9"/>
  <c r="AI245" i="9" s="1"/>
  <c r="AI213" i="9"/>
  <c r="AI212" i="9"/>
  <c r="AI211" i="9"/>
  <c r="AI210" i="9"/>
  <c r="AI203" i="9"/>
  <c r="AI197" i="9"/>
  <c r="AI191" i="9"/>
  <c r="AI209" i="9" s="1"/>
  <c r="AI190" i="9"/>
  <c r="AI186" i="9"/>
  <c r="AI185" i="9"/>
  <c r="AI181" i="9"/>
  <c r="AI187" i="9" s="1"/>
  <c r="AI178" i="9"/>
  <c r="AI184" i="9" s="1"/>
  <c r="AI177" i="9"/>
  <c r="AI171" i="9"/>
  <c r="AI165" i="9"/>
  <c r="AI183" i="9" s="1"/>
  <c r="AI164" i="9"/>
  <c r="AI160" i="9"/>
  <c r="AI159" i="9"/>
  <c r="AI156" i="9"/>
  <c r="AI153" i="9" s="1"/>
  <c r="AI148" i="9"/>
  <c r="AI143" i="9"/>
  <c r="AI116" i="9"/>
  <c r="AI115" i="9"/>
  <c r="AI114" i="9"/>
  <c r="AI111" i="9"/>
  <c r="AI117" i="9" s="1"/>
  <c r="AI107" i="9"/>
  <c r="AI101" i="9"/>
  <c r="AI95" i="9"/>
  <c r="AI113" i="9" s="1"/>
  <c r="AI94" i="9"/>
  <c r="AI68" i="9"/>
  <c r="AI67" i="9"/>
  <c r="AI64" i="9"/>
  <c r="AI69" i="9" s="1"/>
  <c r="AI61" i="9"/>
  <c r="AI56" i="9"/>
  <c r="AI51" i="9"/>
  <c r="AI66" i="9" s="1"/>
  <c r="AI50" i="9"/>
  <c r="AI46" i="9"/>
  <c r="AI45" i="9"/>
  <c r="AI42" i="9"/>
  <c r="AI47" i="9" s="1"/>
  <c r="AI39" i="9"/>
  <c r="AI34" i="9"/>
  <c r="AI29" i="9"/>
  <c r="AI44" i="9" s="1"/>
  <c r="AI24" i="9"/>
  <c r="AI23" i="9"/>
  <c r="AI22" i="9"/>
  <c r="AI19" i="9"/>
  <c r="AI25" i="9" s="1"/>
  <c r="AI15" i="9"/>
  <c r="AI9" i="9"/>
  <c r="AI3" i="9"/>
  <c r="S7" i="5"/>
  <c r="S2" i="5" s="1"/>
  <c r="AJ232" i="9" l="1"/>
  <c r="AJ190" i="9"/>
  <c r="AJ113" i="9"/>
  <c r="AJ66" i="9"/>
  <c r="AJ209" i="9"/>
  <c r="AJ183" i="9"/>
  <c r="AJ44" i="9"/>
  <c r="AJ246" i="9"/>
  <c r="AJ241" i="9"/>
  <c r="AJ164" i="9"/>
  <c r="AJ50" i="9"/>
  <c r="AJ239" i="9"/>
  <c r="AJ240" i="9"/>
  <c r="AJ242" i="9"/>
  <c r="AJ21" i="9"/>
  <c r="AI246" i="9"/>
  <c r="AI232" i="9"/>
  <c r="AJ245" i="9"/>
  <c r="AJ153" i="9"/>
  <c r="AJ142" i="9" s="1"/>
  <c r="AI240" i="9"/>
  <c r="AI241" i="9"/>
  <c r="AI142" i="9"/>
  <c r="AI161" i="9"/>
  <c r="AI239" i="9"/>
  <c r="AI242" i="9"/>
  <c r="AI21" i="9"/>
  <c r="AI158" i="9"/>
  <c r="AI247" i="9"/>
  <c r="AI248" i="9" s="1"/>
  <c r="AK235" i="9"/>
  <c r="AK234" i="9"/>
  <c r="AK233" i="9"/>
  <c r="AK227" i="9"/>
  <c r="AK222" i="9"/>
  <c r="AK217" i="9"/>
  <c r="AK213" i="9"/>
  <c r="AK212" i="9"/>
  <c r="AK211" i="9"/>
  <c r="AK210" i="9"/>
  <c r="AK203" i="9"/>
  <c r="AK197" i="9"/>
  <c r="AK191" i="9"/>
  <c r="AK187" i="9"/>
  <c r="AK186" i="9"/>
  <c r="AK185" i="9"/>
  <c r="AK184" i="9"/>
  <c r="AK177" i="9"/>
  <c r="AK171" i="9"/>
  <c r="AK165" i="9"/>
  <c r="AK161" i="9"/>
  <c r="AK160" i="9"/>
  <c r="AK159" i="9"/>
  <c r="AK153" i="9"/>
  <c r="AK148" i="9"/>
  <c r="AK143" i="9"/>
  <c r="AK117" i="9"/>
  <c r="AK116" i="9"/>
  <c r="AK115" i="9"/>
  <c r="AK114" i="9"/>
  <c r="AK107" i="9"/>
  <c r="AK101" i="9"/>
  <c r="AK95" i="9"/>
  <c r="AK69" i="9"/>
  <c r="AK68" i="9"/>
  <c r="AK67" i="9"/>
  <c r="AK61" i="9"/>
  <c r="AK56" i="9"/>
  <c r="AK51" i="9"/>
  <c r="AK47" i="9"/>
  <c r="AK46" i="9"/>
  <c r="AK45" i="9"/>
  <c r="AK39" i="9"/>
  <c r="AK34" i="9"/>
  <c r="AK29" i="9"/>
  <c r="AK25" i="9"/>
  <c r="AK24" i="9"/>
  <c r="AK23" i="9"/>
  <c r="AK22" i="9"/>
  <c r="AK15" i="9"/>
  <c r="AK9" i="9"/>
  <c r="AK3" i="9"/>
  <c r="AJ238" i="9" l="1"/>
  <c r="AJ158" i="9"/>
  <c r="AJ243" i="9"/>
  <c r="AJ247" i="9"/>
  <c r="AJ248" i="9" s="1"/>
  <c r="AI238" i="9"/>
  <c r="AI243" i="9"/>
  <c r="AK232" i="9"/>
  <c r="AK190" i="9"/>
  <c r="AK209" i="9"/>
  <c r="AK247" i="9"/>
  <c r="AK183" i="9"/>
  <c r="AK164" i="9"/>
  <c r="AK158" i="9"/>
  <c r="AK142" i="9"/>
  <c r="AK113" i="9"/>
  <c r="AK94" i="9"/>
  <c r="AK66" i="9"/>
  <c r="AK50" i="9"/>
  <c r="AK245" i="9"/>
  <c r="AK240" i="9"/>
  <c r="AK246" i="9"/>
  <c r="AK44" i="9"/>
  <c r="AK241" i="9"/>
  <c r="AK16" i="1"/>
  <c r="AK239" i="9"/>
  <c r="AK11" i="1"/>
  <c r="AK21" i="9"/>
  <c r="AK242" i="9"/>
  <c r="Q7" i="5"/>
  <c r="Q2" i="5" s="1"/>
  <c r="AK248" i="9" l="1"/>
  <c r="AK238" i="9"/>
  <c r="AK243" i="9"/>
  <c r="AH233" i="9"/>
  <c r="AI56" i="1" s="1"/>
  <c r="AH234" i="9"/>
  <c r="AI57" i="1" s="1"/>
  <c r="AH235" i="9"/>
  <c r="AI58" i="1" s="1"/>
  <c r="AH227" i="9"/>
  <c r="AH222" i="9"/>
  <c r="AH217" i="9"/>
  <c r="AH210" i="9"/>
  <c r="AI50" i="1" s="1"/>
  <c r="AH211" i="9"/>
  <c r="AI51" i="1" s="1"/>
  <c r="AH212" i="9"/>
  <c r="AI52" i="1" s="1"/>
  <c r="AH213" i="9"/>
  <c r="AI53" i="1" s="1"/>
  <c r="AH203" i="9"/>
  <c r="AH197" i="9"/>
  <c r="AH191" i="9"/>
  <c r="AH184" i="9"/>
  <c r="AI44" i="1" s="1"/>
  <c r="AH185" i="9"/>
  <c r="AI45" i="1" s="1"/>
  <c r="AH186" i="9"/>
  <c r="AI46" i="1" s="1"/>
  <c r="AH187" i="9"/>
  <c r="AI47" i="1" s="1"/>
  <c r="AH177" i="9"/>
  <c r="AH171" i="9"/>
  <c r="AH165" i="9"/>
  <c r="AH159" i="9"/>
  <c r="AI39" i="1" s="1"/>
  <c r="AH160" i="9"/>
  <c r="AI40" i="1" s="1"/>
  <c r="AH161" i="9"/>
  <c r="AI41" i="1" s="1"/>
  <c r="AH153" i="9"/>
  <c r="AH148" i="9"/>
  <c r="AH143" i="9"/>
  <c r="AH114" i="9"/>
  <c r="AI28" i="1" s="1"/>
  <c r="AH115" i="9"/>
  <c r="AI29" i="1" s="1"/>
  <c r="AH116" i="9"/>
  <c r="AI30" i="1" s="1"/>
  <c r="AH117" i="9"/>
  <c r="AI31" i="1" s="1"/>
  <c r="AH107" i="9"/>
  <c r="AH101" i="9"/>
  <c r="AH95" i="9"/>
  <c r="AH67" i="9"/>
  <c r="AI18" i="1" s="1"/>
  <c r="AH68" i="9"/>
  <c r="AI19" i="1" s="1"/>
  <c r="AH69" i="9"/>
  <c r="AI20" i="1" s="1"/>
  <c r="AH61" i="9"/>
  <c r="AH56" i="9"/>
  <c r="AH51" i="9"/>
  <c r="AH45" i="9"/>
  <c r="AI13" i="1" s="1"/>
  <c r="AH46" i="9"/>
  <c r="AI14" i="1" s="1"/>
  <c r="AH47" i="9"/>
  <c r="AI15" i="1" s="1"/>
  <c r="AH39" i="9"/>
  <c r="AH34" i="9"/>
  <c r="AH29" i="9"/>
  <c r="AH22" i="9"/>
  <c r="AI7" i="1" s="1"/>
  <c r="AH23" i="9"/>
  <c r="AI8" i="1" s="1"/>
  <c r="AH24" i="9"/>
  <c r="AI9" i="1" s="1"/>
  <c r="AH25" i="9"/>
  <c r="AI10" i="1" s="1"/>
  <c r="AH15" i="9"/>
  <c r="AH9" i="9"/>
  <c r="AH3" i="9"/>
  <c r="AK36" i="1"/>
  <c r="AK35" i="1"/>
  <c r="AK34" i="1"/>
  <c r="AK25" i="1"/>
  <c r="AK24" i="1"/>
  <c r="AK23" i="1"/>
  <c r="AI11" i="1" l="1"/>
  <c r="AI48" i="1"/>
  <c r="AI32" i="1"/>
  <c r="AI59" i="1"/>
  <c r="AI16" i="1"/>
  <c r="AI21" i="1"/>
  <c r="AI54" i="1"/>
  <c r="AI42" i="1"/>
  <c r="AH209" i="9"/>
  <c r="AH183" i="9"/>
  <c r="AH247" i="9"/>
  <c r="AH158" i="9"/>
  <c r="AH113" i="9"/>
  <c r="AH66" i="9"/>
  <c r="AH44" i="9"/>
  <c r="AH246" i="9"/>
  <c r="AH232" i="9"/>
  <c r="AH190" i="9"/>
  <c r="AH242" i="9"/>
  <c r="AI64" i="1" s="1"/>
  <c r="AH240" i="9"/>
  <c r="AI62" i="1" s="1"/>
  <c r="AH245" i="9"/>
  <c r="AH239" i="9"/>
  <c r="AI61" i="1" s="1"/>
  <c r="AH241" i="9"/>
  <c r="AI63" i="1" s="1"/>
  <c r="AH21" i="9"/>
  <c r="AH164" i="9"/>
  <c r="AH142" i="9"/>
  <c r="AH94" i="9"/>
  <c r="AH50" i="9"/>
  <c r="O7" i="5"/>
  <c r="O2" i="5" s="1"/>
  <c r="N7" i="5"/>
  <c r="AI65" i="1" l="1"/>
  <c r="AH248" i="9"/>
  <c r="AH243" i="9"/>
  <c r="AH238" i="9"/>
  <c r="AK26" i="1"/>
  <c r="AF28" i="1"/>
  <c r="AF29" i="1"/>
  <c r="AK37" i="1"/>
  <c r="AF45" i="1"/>
  <c r="AF235" i="9"/>
  <c r="AG58" i="1" s="1"/>
  <c r="AE235" i="9"/>
  <c r="AF58" i="1" s="1"/>
  <c r="AF234" i="9"/>
  <c r="AG57" i="1" s="1"/>
  <c r="AE234" i="9"/>
  <c r="AF57" i="1" s="1"/>
  <c r="AF227" i="9"/>
  <c r="AE227" i="9"/>
  <c r="AF222" i="9"/>
  <c r="AE223" i="9"/>
  <c r="AE222" i="9" s="1"/>
  <c r="AF233" i="9"/>
  <c r="AG56" i="1" s="1"/>
  <c r="AE218" i="9"/>
  <c r="AF213" i="9"/>
  <c r="AG53" i="1" s="1"/>
  <c r="AE213" i="9"/>
  <c r="AF53" i="1" s="1"/>
  <c r="AF212" i="9"/>
  <c r="AG52" i="1" s="1"/>
  <c r="AE212" i="9"/>
  <c r="AF52" i="1" s="1"/>
  <c r="AF211" i="9"/>
  <c r="AG51" i="1" s="1"/>
  <c r="AE211" i="9"/>
  <c r="AF51" i="1" s="1"/>
  <c r="AF210" i="9"/>
  <c r="AG50" i="1" s="1"/>
  <c r="AE210" i="9"/>
  <c r="AF50" i="1" s="1"/>
  <c r="AF203" i="9"/>
  <c r="AE203" i="9"/>
  <c r="AF197" i="9"/>
  <c r="AE197" i="9"/>
  <c r="AF191" i="9"/>
  <c r="AE191" i="9"/>
  <c r="AE190" i="9" s="1"/>
  <c r="AF187" i="9"/>
  <c r="AG47" i="1" s="1"/>
  <c r="AE187" i="9"/>
  <c r="AF47" i="1" s="1"/>
  <c r="AF186" i="9"/>
  <c r="AG46" i="1" s="1"/>
  <c r="AE186" i="9"/>
  <c r="AF46" i="1" s="1"/>
  <c r="AF185" i="9"/>
  <c r="AG45" i="1" s="1"/>
  <c r="AE185" i="9"/>
  <c r="AF184" i="9"/>
  <c r="AG44" i="1" s="1"/>
  <c r="AE184" i="9"/>
  <c r="AF44" i="1" s="1"/>
  <c r="AF177" i="9"/>
  <c r="AE177" i="9"/>
  <c r="AF171" i="9"/>
  <c r="AE171" i="9"/>
  <c r="AF165" i="9"/>
  <c r="AE165" i="9"/>
  <c r="AE164" i="9" s="1"/>
  <c r="AF161" i="9"/>
  <c r="AG41" i="1" s="1"/>
  <c r="AE161" i="9"/>
  <c r="AF41" i="1" s="1"/>
  <c r="AF160" i="9"/>
  <c r="AG40" i="1" s="1"/>
  <c r="AE160" i="9"/>
  <c r="AF40" i="1" s="1"/>
  <c r="AF159" i="9"/>
  <c r="AG39" i="1" s="1"/>
  <c r="AE159" i="9"/>
  <c r="AF39" i="1" s="1"/>
  <c r="AF153" i="9"/>
  <c r="AE153" i="9"/>
  <c r="AF148" i="9"/>
  <c r="AE148" i="9"/>
  <c r="AF143" i="9"/>
  <c r="AE143" i="9"/>
  <c r="AF139" i="9"/>
  <c r="AG36" i="1" s="1"/>
  <c r="AE139" i="9"/>
  <c r="AF36" i="1" s="1"/>
  <c r="AF138" i="9"/>
  <c r="AG35" i="1" s="1"/>
  <c r="AE138" i="9"/>
  <c r="AF35" i="1" s="1"/>
  <c r="AF137" i="9"/>
  <c r="AG34" i="1" s="1"/>
  <c r="AE137" i="9"/>
  <c r="AF34" i="1" s="1"/>
  <c r="AF131" i="9"/>
  <c r="AE131" i="9"/>
  <c r="AF126" i="9"/>
  <c r="AE126" i="9"/>
  <c r="AF121" i="9"/>
  <c r="AF136" i="9" s="1"/>
  <c r="AE121" i="9"/>
  <c r="AF117" i="9"/>
  <c r="AG31" i="1" s="1"/>
  <c r="AE117" i="9"/>
  <c r="AF31" i="1" s="1"/>
  <c r="AF116" i="9"/>
  <c r="AG30" i="1" s="1"/>
  <c r="AE116" i="9"/>
  <c r="AF30" i="1" s="1"/>
  <c r="AF115" i="9"/>
  <c r="AG29" i="1" s="1"/>
  <c r="AE115" i="9"/>
  <c r="AF114" i="9"/>
  <c r="AG28" i="1" s="1"/>
  <c r="AE114" i="9"/>
  <c r="AF107" i="9"/>
  <c r="AE107" i="9"/>
  <c r="AF101" i="9"/>
  <c r="AE101" i="9"/>
  <c r="AF95" i="9"/>
  <c r="AE95" i="9"/>
  <c r="AE113" i="9" s="1"/>
  <c r="AF91" i="9"/>
  <c r="AG25" i="1" s="1"/>
  <c r="AE91" i="9"/>
  <c r="AF25" i="1" s="1"/>
  <c r="AF90" i="9"/>
  <c r="AG24" i="1" s="1"/>
  <c r="AE90" i="9"/>
  <c r="AF24" i="1" s="1"/>
  <c r="AF89" i="9"/>
  <c r="AG23" i="1" s="1"/>
  <c r="AE89" i="9"/>
  <c r="AF23" i="1" s="1"/>
  <c r="AF83" i="9"/>
  <c r="AE83" i="9"/>
  <c r="AF78" i="9"/>
  <c r="AE78" i="9"/>
  <c r="AF73" i="9"/>
  <c r="AE73" i="9"/>
  <c r="AF69" i="9"/>
  <c r="AG20" i="1" s="1"/>
  <c r="AE69" i="9"/>
  <c r="AF20" i="1" s="1"/>
  <c r="AF68" i="9"/>
  <c r="AG19" i="1" s="1"/>
  <c r="AE68" i="9"/>
  <c r="AF19" i="1" s="1"/>
  <c r="AF67" i="9"/>
  <c r="AG18" i="1" s="1"/>
  <c r="AE67" i="9"/>
  <c r="AF18" i="1" s="1"/>
  <c r="AF61" i="9"/>
  <c r="AE61" i="9"/>
  <c r="AF56" i="9"/>
  <c r="AE56" i="9"/>
  <c r="AF51" i="9"/>
  <c r="AE51" i="9"/>
  <c r="AF47" i="9"/>
  <c r="AG15" i="1" s="1"/>
  <c r="AE47" i="9"/>
  <c r="AF15" i="1" s="1"/>
  <c r="AF46" i="9"/>
  <c r="AG14" i="1" s="1"/>
  <c r="AE46" i="9"/>
  <c r="AF14" i="1" s="1"/>
  <c r="AF45" i="9"/>
  <c r="AG13" i="1" s="1"/>
  <c r="AE45" i="9"/>
  <c r="AF13" i="1" s="1"/>
  <c r="AF39" i="9"/>
  <c r="AE39" i="9"/>
  <c r="AF34" i="9"/>
  <c r="AE34" i="9"/>
  <c r="AF29" i="9"/>
  <c r="AE29" i="9"/>
  <c r="AE44" i="9" s="1"/>
  <c r="AF16" i="1" s="1"/>
  <c r="AF25" i="9"/>
  <c r="AG10" i="1" s="1"/>
  <c r="AE25" i="9"/>
  <c r="AF24" i="9"/>
  <c r="AG9" i="1" s="1"/>
  <c r="AE24" i="9"/>
  <c r="AF9" i="1" s="1"/>
  <c r="AF23" i="9"/>
  <c r="AE23" i="9"/>
  <c r="AF22" i="9"/>
  <c r="AG7" i="1" s="1"/>
  <c r="AE22" i="9"/>
  <c r="AF7" i="1" s="1"/>
  <c r="AF15" i="9"/>
  <c r="AE15" i="9"/>
  <c r="AF9" i="9"/>
  <c r="AE9" i="9"/>
  <c r="AF3" i="9"/>
  <c r="AE3" i="9"/>
  <c r="AE142" i="9" l="1"/>
  <c r="AF88" i="9"/>
  <c r="AE136" i="9"/>
  <c r="AF48" i="1"/>
  <c r="AE88" i="9"/>
  <c r="AE233" i="9"/>
  <c r="AF56" i="1" s="1"/>
  <c r="AF21" i="1"/>
  <c r="AE247" i="9"/>
  <c r="AE183" i="9"/>
  <c r="AE241" i="9"/>
  <c r="AF63" i="1" s="1"/>
  <c r="AE240" i="9"/>
  <c r="AF62" i="1" s="1"/>
  <c r="AE209" i="9"/>
  <c r="AE242" i="9"/>
  <c r="AF64" i="1" s="1"/>
  <c r="AF10" i="1"/>
  <c r="AF59" i="1"/>
  <c r="AF8" i="1"/>
  <c r="AE158" i="9"/>
  <c r="AE232" i="9"/>
  <c r="AE246" i="9"/>
  <c r="AE120" i="9"/>
  <c r="AF120" i="9"/>
  <c r="AE66" i="9"/>
  <c r="AG37" i="1"/>
  <c r="AF54" i="1"/>
  <c r="AF42" i="1"/>
  <c r="AG26" i="1"/>
  <c r="AF37" i="1"/>
  <c r="AF32" i="1"/>
  <c r="AF26" i="1"/>
  <c r="AG59" i="1"/>
  <c r="AF209" i="9"/>
  <c r="AG54" i="1"/>
  <c r="AF190" i="9"/>
  <c r="AF164" i="9"/>
  <c r="AG48" i="1"/>
  <c r="AG42" i="1"/>
  <c r="AG32" i="1"/>
  <c r="AG21" i="1"/>
  <c r="AF240" i="9"/>
  <c r="AG62" i="1" s="1"/>
  <c r="AG8" i="1"/>
  <c r="AF232" i="9"/>
  <c r="AF183" i="9"/>
  <c r="AF158" i="9"/>
  <c r="AF113" i="9"/>
  <c r="AF66" i="9"/>
  <c r="AF242" i="9"/>
  <c r="AG64" i="1" s="1"/>
  <c r="AF44" i="9"/>
  <c r="AG16" i="1" s="1"/>
  <c r="AF239" i="9"/>
  <c r="AG61" i="1" s="1"/>
  <c r="AF247" i="9"/>
  <c r="AF246" i="9"/>
  <c r="AF241" i="9"/>
  <c r="AG63" i="1" s="1"/>
  <c r="AE21" i="9"/>
  <c r="AF11" i="1" s="1"/>
  <c r="AE50" i="9"/>
  <c r="AE72" i="9"/>
  <c r="AE94" i="9"/>
  <c r="AF21" i="9"/>
  <c r="AG11" i="1" s="1"/>
  <c r="AF50" i="9"/>
  <c r="AF72" i="9"/>
  <c r="AF94" i="9"/>
  <c r="AE217" i="9"/>
  <c r="AE245" i="9" s="1"/>
  <c r="AF142" i="9"/>
  <c r="AF217" i="9"/>
  <c r="AF245" i="9" s="1"/>
  <c r="AR13" i="9"/>
  <c r="AG25" i="9"/>
  <c r="AH10" i="1" s="1"/>
  <c r="AG24" i="9"/>
  <c r="AH9" i="1" s="1"/>
  <c r="AG23" i="9"/>
  <c r="AH8" i="1" s="1"/>
  <c r="AG22" i="9"/>
  <c r="AH7" i="1" s="1"/>
  <c r="AM17" i="9"/>
  <c r="AM11" i="9"/>
  <c r="AM5" i="9"/>
  <c r="AE239" i="9" l="1"/>
  <c r="AF61" i="1" s="1"/>
  <c r="AF65" i="1" s="1"/>
  <c r="AE248" i="9"/>
  <c r="AE243" i="9"/>
  <c r="AE238" i="9"/>
  <c r="AG65" i="1"/>
  <c r="AF248" i="9"/>
  <c r="AF243" i="9"/>
  <c r="AF238" i="9"/>
  <c r="AG21" i="9"/>
  <c r="AH11" i="1" s="1"/>
  <c r="AM23" i="9"/>
  <c r="AB248" i="9"/>
  <c r="AA248" i="9"/>
  <c r="Z248" i="9"/>
  <c r="Y248" i="9"/>
  <c r="X248" i="9"/>
  <c r="W248" i="9"/>
  <c r="V248" i="9"/>
  <c r="U248" i="9"/>
  <c r="T248" i="9"/>
  <c r="S248" i="9"/>
  <c r="R248" i="9"/>
  <c r="AG235" i="9"/>
  <c r="AH58" i="1" s="1"/>
  <c r="AD235" i="9"/>
  <c r="AC235" i="9"/>
  <c r="AB235" i="9"/>
  <c r="AA235" i="9"/>
  <c r="Z235" i="9"/>
  <c r="Y235" i="9"/>
  <c r="X235" i="9"/>
  <c r="W235" i="9"/>
  <c r="V235" i="9"/>
  <c r="U235" i="9"/>
  <c r="T235" i="9"/>
  <c r="S235" i="9"/>
  <c r="R235" i="9"/>
  <c r="P235" i="9"/>
  <c r="O235" i="9"/>
  <c r="M235" i="9"/>
  <c r="L235" i="9"/>
  <c r="AG234" i="9"/>
  <c r="AH57" i="1" s="1"/>
  <c r="AC234" i="9"/>
  <c r="AA234" i="9"/>
  <c r="Z234" i="9"/>
  <c r="Y234" i="9"/>
  <c r="X234" i="9"/>
  <c r="W234" i="9"/>
  <c r="V234" i="9"/>
  <c r="U234" i="9"/>
  <c r="T234" i="9"/>
  <c r="S234" i="9"/>
  <c r="R234" i="9"/>
  <c r="O234" i="9"/>
  <c r="M234" i="9"/>
  <c r="L234" i="9"/>
  <c r="AG233" i="9"/>
  <c r="AH56" i="1" s="1"/>
  <c r="AC233" i="9"/>
  <c r="AC232" i="9" s="1"/>
  <c r="AA233" i="9"/>
  <c r="Z233" i="9"/>
  <c r="Z232" i="9" s="1"/>
  <c r="Y233" i="9"/>
  <c r="O233" i="9"/>
  <c r="M233" i="9"/>
  <c r="L233" i="9"/>
  <c r="N232" i="9"/>
  <c r="K232" i="9"/>
  <c r="J232" i="9"/>
  <c r="I232" i="9"/>
  <c r="H232" i="9"/>
  <c r="G232" i="9"/>
  <c r="F232" i="9"/>
  <c r="P230" i="9"/>
  <c r="P229" i="9"/>
  <c r="P234" i="9" s="1"/>
  <c r="AD228" i="9"/>
  <c r="AD227" i="9" s="1"/>
  <c r="X228" i="9"/>
  <c r="X227" i="9" s="1"/>
  <c r="W228" i="9"/>
  <c r="W227" i="9" s="1"/>
  <c r="V228" i="9"/>
  <c r="V227" i="9" s="1"/>
  <c r="U228" i="9"/>
  <c r="U227" i="9" s="1"/>
  <c r="T228" i="9"/>
  <c r="T227" i="9" s="1"/>
  <c r="S228" i="9"/>
  <c r="S227" i="9" s="1"/>
  <c r="R228" i="9"/>
  <c r="R227" i="9" s="1"/>
  <c r="P228" i="9"/>
  <c r="AG227" i="9"/>
  <c r="AC227" i="9"/>
  <c r="AB227" i="9"/>
  <c r="AA227" i="9"/>
  <c r="Z227" i="9"/>
  <c r="Y227" i="9"/>
  <c r="Q227" i="9"/>
  <c r="O227" i="9"/>
  <c r="AD224" i="9"/>
  <c r="AD234" i="9" s="1"/>
  <c r="AB224" i="9"/>
  <c r="AB234" i="9" s="1"/>
  <c r="AG222" i="9"/>
  <c r="AD223" i="9"/>
  <c r="AD222" i="9" s="1"/>
  <c r="AB223" i="9"/>
  <c r="AB233" i="9" s="1"/>
  <c r="X223" i="9"/>
  <c r="X222" i="9" s="1"/>
  <c r="W223" i="9"/>
  <c r="W222" i="9" s="1"/>
  <c r="V223" i="9"/>
  <c r="U223" i="9"/>
  <c r="U222" i="9" s="1"/>
  <c r="T223" i="9"/>
  <c r="T222" i="9" s="1"/>
  <c r="S223" i="9"/>
  <c r="S222" i="9" s="1"/>
  <c r="R223" i="9"/>
  <c r="Q223" i="9"/>
  <c r="Q222" i="9" s="1"/>
  <c r="AC222" i="9"/>
  <c r="AA222" i="9"/>
  <c r="Z222" i="9"/>
  <c r="Y222" i="9"/>
  <c r="P222" i="9"/>
  <c r="O222" i="9"/>
  <c r="Q220" i="9"/>
  <c r="Q235" i="9" s="1"/>
  <c r="Q219" i="9"/>
  <c r="X218" i="9"/>
  <c r="W218" i="9"/>
  <c r="V218" i="9"/>
  <c r="V217" i="9" s="1"/>
  <c r="U218" i="9"/>
  <c r="U217" i="9" s="1"/>
  <c r="S218" i="9"/>
  <c r="Q218" i="9"/>
  <c r="AG217" i="9"/>
  <c r="AD217" i="9"/>
  <c r="AC217" i="9"/>
  <c r="AB217" i="9"/>
  <c r="AA217" i="9"/>
  <c r="Z217" i="9"/>
  <c r="Y217" i="9"/>
  <c r="T217" i="9"/>
  <c r="R217" i="9"/>
  <c r="P217" i="9"/>
  <c r="O217" i="9"/>
  <c r="AG213" i="9"/>
  <c r="AH53" i="1" s="1"/>
  <c r="AD213" i="9"/>
  <c r="AC213" i="9"/>
  <c r="AB213" i="9"/>
  <c r="AA213" i="9"/>
  <c r="Z213" i="9"/>
  <c r="Y213" i="9"/>
  <c r="X213" i="9"/>
  <c r="W213" i="9"/>
  <c r="V213" i="9"/>
  <c r="U213" i="9"/>
  <c r="T213" i="9"/>
  <c r="S213" i="9"/>
  <c r="R213" i="9"/>
  <c r="Q213" i="9"/>
  <c r="P213" i="9"/>
  <c r="O213" i="9"/>
  <c r="N213" i="9"/>
  <c r="M213" i="9"/>
  <c r="L213" i="9"/>
  <c r="K213" i="9"/>
  <c r="J213" i="9"/>
  <c r="I213" i="9"/>
  <c r="H213" i="9"/>
  <c r="G213" i="9"/>
  <c r="F213" i="9"/>
  <c r="AG212" i="9"/>
  <c r="AD212" i="9"/>
  <c r="AC212" i="9"/>
  <c r="AB212" i="9"/>
  <c r="AA212" i="9"/>
  <c r="Z212" i="9"/>
  <c r="Z241" i="9" s="1"/>
  <c r="Y212" i="9"/>
  <c r="Y241" i="9" s="1"/>
  <c r="X212" i="9"/>
  <c r="X241" i="9" s="1"/>
  <c r="W212" i="9"/>
  <c r="W241" i="9" s="1"/>
  <c r="V212" i="9"/>
  <c r="V241" i="9" s="1"/>
  <c r="U212" i="9"/>
  <c r="U241" i="9" s="1"/>
  <c r="T212" i="9"/>
  <c r="T241" i="9" s="1"/>
  <c r="S212" i="9"/>
  <c r="S241" i="9" s="1"/>
  <c r="R212" i="9"/>
  <c r="R241" i="9" s="1"/>
  <c r="Q212" i="9"/>
  <c r="Q241" i="9" s="1"/>
  <c r="P212" i="9"/>
  <c r="P241" i="9" s="1"/>
  <c r="O212" i="9"/>
  <c r="O241" i="9" s="1"/>
  <c r="F212" i="9"/>
  <c r="F241" i="9" s="1"/>
  <c r="AG211" i="9"/>
  <c r="AH51" i="1" s="1"/>
  <c r="AD211" i="9"/>
  <c r="AC211" i="9"/>
  <c r="AB211" i="9"/>
  <c r="AA211" i="9"/>
  <c r="Z211" i="9"/>
  <c r="Y211" i="9"/>
  <c r="X211" i="9"/>
  <c r="W211" i="9"/>
  <c r="V211" i="9"/>
  <c r="U211" i="9"/>
  <c r="T211" i="9"/>
  <c r="S211" i="9"/>
  <c r="R211" i="9"/>
  <c r="Q211" i="9"/>
  <c r="P211" i="9"/>
  <c r="O211" i="9"/>
  <c r="N211" i="9"/>
  <c r="M211" i="9"/>
  <c r="L211" i="9"/>
  <c r="K211" i="9"/>
  <c r="AG210" i="9"/>
  <c r="AH50" i="1" s="1"/>
  <c r="AD210" i="9"/>
  <c r="AC210" i="9"/>
  <c r="AB210" i="9"/>
  <c r="AA210" i="9"/>
  <c r="Z210" i="9"/>
  <c r="Y210" i="9"/>
  <c r="X210" i="9"/>
  <c r="W210" i="9"/>
  <c r="V210" i="9"/>
  <c r="U210" i="9"/>
  <c r="T210" i="9"/>
  <c r="S210" i="9"/>
  <c r="R210" i="9"/>
  <c r="Q210" i="9"/>
  <c r="P210" i="9"/>
  <c r="O210" i="9"/>
  <c r="N210" i="9"/>
  <c r="M210" i="9"/>
  <c r="L210" i="9"/>
  <c r="K210" i="9"/>
  <c r="N206" i="9"/>
  <c r="M206" i="9"/>
  <c r="L206" i="9"/>
  <c r="K206" i="9"/>
  <c r="I206" i="9"/>
  <c r="I203" i="9" s="1"/>
  <c r="H206" i="9"/>
  <c r="G206" i="9"/>
  <c r="AG203" i="9"/>
  <c r="AD203" i="9"/>
  <c r="AC203" i="9"/>
  <c r="AB203" i="9"/>
  <c r="AA203" i="9"/>
  <c r="Z203" i="9"/>
  <c r="Y203" i="9"/>
  <c r="X203" i="9"/>
  <c r="W203" i="9"/>
  <c r="V203" i="9"/>
  <c r="U203" i="9"/>
  <c r="T203" i="9"/>
  <c r="S203" i="9"/>
  <c r="R203" i="9"/>
  <c r="Q203" i="9"/>
  <c r="P203" i="9"/>
  <c r="O203" i="9"/>
  <c r="J203" i="9"/>
  <c r="H203" i="9"/>
  <c r="G203" i="9"/>
  <c r="F203" i="9"/>
  <c r="N200" i="9"/>
  <c r="M200" i="9"/>
  <c r="L200" i="9"/>
  <c r="K200" i="9"/>
  <c r="J200" i="9"/>
  <c r="I200" i="9"/>
  <c r="I197" i="9" s="1"/>
  <c r="H200" i="9"/>
  <c r="H197" i="9" s="1"/>
  <c r="G200" i="9"/>
  <c r="G197" i="9" s="1"/>
  <c r="AG197" i="9"/>
  <c r="AD197" i="9"/>
  <c r="AC197" i="9"/>
  <c r="AB197" i="9"/>
  <c r="AA197" i="9"/>
  <c r="Z197" i="9"/>
  <c r="Y197" i="9"/>
  <c r="X197" i="9"/>
  <c r="W197" i="9"/>
  <c r="V197" i="9"/>
  <c r="U197" i="9"/>
  <c r="T197" i="9"/>
  <c r="S197" i="9"/>
  <c r="R197" i="9"/>
  <c r="Q197" i="9"/>
  <c r="P197" i="9"/>
  <c r="O197" i="9"/>
  <c r="F197" i="9"/>
  <c r="N194" i="9"/>
  <c r="M194" i="9"/>
  <c r="L194" i="9"/>
  <c r="K194" i="9"/>
  <c r="J194" i="9"/>
  <c r="J191" i="9" s="1"/>
  <c r="H194" i="9"/>
  <c r="G194" i="9"/>
  <c r="G191" i="9" s="1"/>
  <c r="AG191" i="9"/>
  <c r="AD191" i="9"/>
  <c r="AC191" i="9"/>
  <c r="AB191" i="9"/>
  <c r="AA191" i="9"/>
  <c r="Z191" i="9"/>
  <c r="Y191" i="9"/>
  <c r="X191" i="9"/>
  <c r="W191" i="9"/>
  <c r="V191" i="9"/>
  <c r="U191" i="9"/>
  <c r="T191" i="9"/>
  <c r="S191" i="9"/>
  <c r="R191" i="9"/>
  <c r="Q191" i="9"/>
  <c r="P191" i="9"/>
  <c r="O191" i="9"/>
  <c r="I191" i="9"/>
  <c r="F191" i="9"/>
  <c r="N190" i="9"/>
  <c r="M190" i="9"/>
  <c r="L190" i="9"/>
  <c r="K190" i="9"/>
  <c r="AG187" i="9"/>
  <c r="AH47" i="1" s="1"/>
  <c r="AD187" i="9"/>
  <c r="AC187" i="9"/>
  <c r="AB187" i="9"/>
  <c r="AA187" i="9"/>
  <c r="Z187" i="9"/>
  <c r="Y187" i="9"/>
  <c r="X187" i="9"/>
  <c r="W187" i="9"/>
  <c r="V187" i="9"/>
  <c r="U187" i="9"/>
  <c r="T187" i="9"/>
  <c r="S187" i="9"/>
  <c r="R187" i="9"/>
  <c r="Q187" i="9"/>
  <c r="P187" i="9"/>
  <c r="O187" i="9"/>
  <c r="N187" i="9"/>
  <c r="M187" i="9"/>
  <c r="L187" i="9"/>
  <c r="K187" i="9"/>
  <c r="J187" i="9"/>
  <c r="I187" i="9"/>
  <c r="H187" i="9"/>
  <c r="G187" i="9"/>
  <c r="F187" i="9"/>
  <c r="AG186" i="9"/>
  <c r="AH46" i="1" s="1"/>
  <c r="AD186" i="9"/>
  <c r="AC186" i="9"/>
  <c r="AB186" i="9"/>
  <c r="AA186" i="9"/>
  <c r="AG185" i="9"/>
  <c r="AH45" i="1" s="1"/>
  <c r="AD185" i="9"/>
  <c r="AC185" i="9"/>
  <c r="AB185" i="9"/>
  <c r="AA185" i="9"/>
  <c r="Z185" i="9"/>
  <c r="Y185" i="9"/>
  <c r="X185" i="9"/>
  <c r="W185" i="9"/>
  <c r="V185" i="9"/>
  <c r="U185" i="9"/>
  <c r="T185" i="9"/>
  <c r="S185" i="9"/>
  <c r="R185" i="9"/>
  <c r="Q185" i="9"/>
  <c r="P185" i="9"/>
  <c r="O185" i="9"/>
  <c r="N185" i="9"/>
  <c r="M185" i="9"/>
  <c r="L185" i="9"/>
  <c r="K185" i="9"/>
  <c r="F185" i="9"/>
  <c r="AG184" i="9"/>
  <c r="AH44" i="1" s="1"/>
  <c r="AD184" i="9"/>
  <c r="AC184" i="9"/>
  <c r="AB184" i="9"/>
  <c r="AA184" i="9"/>
  <c r="Z184" i="9"/>
  <c r="Y184" i="9"/>
  <c r="X184" i="9"/>
  <c r="W184" i="9"/>
  <c r="V184" i="9"/>
  <c r="U184" i="9"/>
  <c r="T184" i="9"/>
  <c r="S184" i="9"/>
  <c r="R184" i="9"/>
  <c r="Q184" i="9"/>
  <c r="P184" i="9"/>
  <c r="O184" i="9"/>
  <c r="N184" i="9"/>
  <c r="M184" i="9"/>
  <c r="L184" i="9"/>
  <c r="K184" i="9"/>
  <c r="F184" i="9"/>
  <c r="I179" i="9"/>
  <c r="H179" i="9"/>
  <c r="G179" i="9"/>
  <c r="I178" i="9"/>
  <c r="H178" i="9"/>
  <c r="G178" i="9"/>
  <c r="G177" i="9" s="1"/>
  <c r="AG177" i="9"/>
  <c r="AD177" i="9"/>
  <c r="AC177" i="9"/>
  <c r="AB177" i="9"/>
  <c r="AA177" i="9"/>
  <c r="Z177" i="9"/>
  <c r="Y177" i="9"/>
  <c r="X177" i="9"/>
  <c r="W177" i="9"/>
  <c r="V177" i="9"/>
  <c r="U177" i="9"/>
  <c r="T177" i="9"/>
  <c r="S177" i="9"/>
  <c r="R177" i="9"/>
  <c r="Q177" i="9"/>
  <c r="P177" i="9"/>
  <c r="O177" i="9"/>
  <c r="N177" i="9"/>
  <c r="M177" i="9"/>
  <c r="L177" i="9"/>
  <c r="K177" i="9"/>
  <c r="J177" i="9"/>
  <c r="F177" i="9"/>
  <c r="J173" i="9"/>
  <c r="I173" i="9"/>
  <c r="H173" i="9"/>
  <c r="G173" i="9"/>
  <c r="J172" i="9"/>
  <c r="I172" i="9"/>
  <c r="H172" i="9"/>
  <c r="G172" i="9"/>
  <c r="G171" i="9" s="1"/>
  <c r="AG171" i="9"/>
  <c r="AD171" i="9"/>
  <c r="AC171" i="9"/>
  <c r="AB171" i="9"/>
  <c r="AA171" i="9"/>
  <c r="Z171" i="9"/>
  <c r="Y171" i="9"/>
  <c r="X171" i="9"/>
  <c r="W171" i="9"/>
  <c r="V171" i="9"/>
  <c r="U171" i="9"/>
  <c r="T171" i="9"/>
  <c r="S171" i="9"/>
  <c r="R171" i="9"/>
  <c r="Q171" i="9"/>
  <c r="P171" i="9"/>
  <c r="O171" i="9"/>
  <c r="N171" i="9"/>
  <c r="M171" i="9"/>
  <c r="L171" i="9"/>
  <c r="K171" i="9"/>
  <c r="F171" i="9"/>
  <c r="J167" i="9"/>
  <c r="I167" i="9"/>
  <c r="H167" i="9"/>
  <c r="G167" i="9"/>
  <c r="J166" i="9"/>
  <c r="I166" i="9"/>
  <c r="H166" i="9"/>
  <c r="G166" i="9"/>
  <c r="AG165" i="9"/>
  <c r="AD165" i="9"/>
  <c r="AC165" i="9"/>
  <c r="AB165" i="9"/>
  <c r="AA165" i="9"/>
  <c r="Z165" i="9"/>
  <c r="Y165" i="9"/>
  <c r="X165" i="9"/>
  <c r="W165" i="9"/>
  <c r="V165" i="9"/>
  <c r="U165" i="9"/>
  <c r="T165" i="9"/>
  <c r="S165" i="9"/>
  <c r="S164" i="9" s="1"/>
  <c r="R165" i="9"/>
  <c r="Q165" i="9"/>
  <c r="P165" i="9"/>
  <c r="O165" i="9"/>
  <c r="N165" i="9"/>
  <c r="M165" i="9"/>
  <c r="L165" i="9"/>
  <c r="K165" i="9"/>
  <c r="F165" i="9"/>
  <c r="AG161" i="9"/>
  <c r="AH41" i="1" s="1"/>
  <c r="AD161" i="9"/>
  <c r="AC161" i="9"/>
  <c r="AB161" i="9"/>
  <c r="AA161" i="9"/>
  <c r="Z161" i="9"/>
  <c r="Y161" i="9"/>
  <c r="X161" i="9"/>
  <c r="W161" i="9"/>
  <c r="V161" i="9"/>
  <c r="U161" i="9"/>
  <c r="T161" i="9"/>
  <c r="S161" i="9"/>
  <c r="Q161" i="9"/>
  <c r="P161" i="9"/>
  <c r="O161" i="9"/>
  <c r="N161" i="9"/>
  <c r="M161" i="9"/>
  <c r="L161" i="9"/>
  <c r="K161" i="9"/>
  <c r="J161" i="9"/>
  <c r="I161" i="9"/>
  <c r="H161" i="9"/>
  <c r="G161" i="9"/>
  <c r="F161" i="9"/>
  <c r="AG160" i="9"/>
  <c r="AH40" i="1" s="1"/>
  <c r="AD160" i="9"/>
  <c r="AC160" i="9"/>
  <c r="AB160" i="9"/>
  <c r="AA160" i="9"/>
  <c r="Z160" i="9"/>
  <c r="Y160" i="9"/>
  <c r="X160" i="9"/>
  <c r="W160" i="9"/>
  <c r="V160" i="9"/>
  <c r="U160" i="9"/>
  <c r="T160" i="9"/>
  <c r="S160" i="9"/>
  <c r="Q160" i="9"/>
  <c r="P160" i="9"/>
  <c r="O160" i="9"/>
  <c r="N160" i="9"/>
  <c r="M160" i="9"/>
  <c r="L160" i="9"/>
  <c r="K160" i="9"/>
  <c r="J160" i="9"/>
  <c r="I160" i="9"/>
  <c r="H160" i="9"/>
  <c r="G160" i="9"/>
  <c r="F160" i="9"/>
  <c r="AG159" i="9"/>
  <c r="AH39" i="1" s="1"/>
  <c r="AD159" i="9"/>
  <c r="AC159" i="9"/>
  <c r="AB159" i="9"/>
  <c r="AA159" i="9"/>
  <c r="Z159" i="9"/>
  <c r="Y159" i="9"/>
  <c r="X159" i="9"/>
  <c r="W159" i="9"/>
  <c r="V159" i="9"/>
  <c r="U159" i="9"/>
  <c r="T159" i="9"/>
  <c r="S159" i="9"/>
  <c r="Q159" i="9"/>
  <c r="P159" i="9"/>
  <c r="O159" i="9"/>
  <c r="N159" i="9"/>
  <c r="M159" i="9"/>
  <c r="L159" i="9"/>
  <c r="K159" i="9"/>
  <c r="J159" i="9"/>
  <c r="I159" i="9"/>
  <c r="H159" i="9"/>
  <c r="G159" i="9"/>
  <c r="F159" i="9"/>
  <c r="AG153" i="9"/>
  <c r="AD153" i="9"/>
  <c r="AC153" i="9"/>
  <c r="AB153" i="9"/>
  <c r="AA153" i="9"/>
  <c r="Z153" i="9"/>
  <c r="Y153" i="9"/>
  <c r="X153" i="9"/>
  <c r="W153" i="9"/>
  <c r="V153" i="9"/>
  <c r="U153" i="9"/>
  <c r="T153" i="9"/>
  <c r="S153" i="9"/>
  <c r="R153" i="9"/>
  <c r="Q153" i="9"/>
  <c r="P153" i="9"/>
  <c r="O153" i="9"/>
  <c r="N153" i="9"/>
  <c r="M153" i="9"/>
  <c r="L153" i="9"/>
  <c r="K153" i="9"/>
  <c r="J153" i="9"/>
  <c r="I153" i="9"/>
  <c r="H153" i="9"/>
  <c r="G153" i="9"/>
  <c r="F153" i="9"/>
  <c r="AG148" i="9"/>
  <c r="AD148" i="9"/>
  <c r="AC148" i="9"/>
  <c r="AB148" i="9"/>
  <c r="AA148" i="9"/>
  <c r="Z148" i="9"/>
  <c r="Y148" i="9"/>
  <c r="X148" i="9"/>
  <c r="W148" i="9"/>
  <c r="V148" i="9"/>
  <c r="U148" i="9"/>
  <c r="T148" i="9"/>
  <c r="S148" i="9"/>
  <c r="R148" i="9"/>
  <c r="Q148" i="9"/>
  <c r="P148" i="9"/>
  <c r="O148" i="9"/>
  <c r="N148" i="9"/>
  <c r="M148" i="9"/>
  <c r="L148" i="9"/>
  <c r="K148" i="9"/>
  <c r="J148" i="9"/>
  <c r="I148" i="9"/>
  <c r="H148" i="9"/>
  <c r="G148" i="9"/>
  <c r="F148" i="9"/>
  <c r="R146" i="9"/>
  <c r="R161" i="9" s="1"/>
  <c r="R145" i="9"/>
  <c r="R144" i="9"/>
  <c r="R159" i="9" s="1"/>
  <c r="AG143" i="9"/>
  <c r="AD143" i="9"/>
  <c r="AC143" i="9"/>
  <c r="AB143" i="9"/>
  <c r="AA143" i="9"/>
  <c r="Z143" i="9"/>
  <c r="Y143" i="9"/>
  <c r="X143" i="9"/>
  <c r="W143" i="9"/>
  <c r="V143" i="9"/>
  <c r="U143" i="9"/>
  <c r="T143" i="9"/>
  <c r="S143" i="9"/>
  <c r="Q143" i="9"/>
  <c r="P143" i="9"/>
  <c r="P142" i="9" s="1"/>
  <c r="O143" i="9"/>
  <c r="N143" i="9"/>
  <c r="M143" i="9"/>
  <c r="L143" i="9"/>
  <c r="K143" i="9"/>
  <c r="J143" i="9"/>
  <c r="I143" i="9"/>
  <c r="H143" i="9"/>
  <c r="G143" i="9"/>
  <c r="F143" i="9"/>
  <c r="AG139" i="9"/>
  <c r="AD139" i="9"/>
  <c r="AC139" i="9"/>
  <c r="AB139" i="9"/>
  <c r="AA139" i="9"/>
  <c r="Z139" i="9"/>
  <c r="Y139" i="9"/>
  <c r="X139" i="9"/>
  <c r="W139" i="9"/>
  <c r="V139" i="9"/>
  <c r="U139" i="9"/>
  <c r="T139" i="9"/>
  <c r="S139" i="9"/>
  <c r="R139" i="9"/>
  <c r="Q139" i="9"/>
  <c r="P139" i="9"/>
  <c r="O139" i="9"/>
  <c r="N139" i="9"/>
  <c r="M139" i="9"/>
  <c r="L139" i="9"/>
  <c r="K139" i="9"/>
  <c r="J139" i="9"/>
  <c r="I139" i="9"/>
  <c r="H139" i="9"/>
  <c r="G139" i="9"/>
  <c r="F139" i="9"/>
  <c r="AG138" i="9"/>
  <c r="AD138" i="9"/>
  <c r="AC138" i="9"/>
  <c r="AB138" i="9"/>
  <c r="AA138" i="9"/>
  <c r="Z138" i="9"/>
  <c r="Y138" i="9"/>
  <c r="X138" i="9"/>
  <c r="W138" i="9"/>
  <c r="V138" i="9"/>
  <c r="U138" i="9"/>
  <c r="T138" i="9"/>
  <c r="S138" i="9"/>
  <c r="R138" i="9"/>
  <c r="Q138" i="9"/>
  <c r="P138" i="9"/>
  <c r="O138" i="9"/>
  <c r="N138" i="9"/>
  <c r="M138" i="9"/>
  <c r="L138" i="9"/>
  <c r="K138" i="9"/>
  <c r="F138" i="9"/>
  <c r="AG137" i="9"/>
  <c r="AD137" i="9"/>
  <c r="AC137" i="9"/>
  <c r="AB137" i="9"/>
  <c r="AA137" i="9"/>
  <c r="Z137" i="9"/>
  <c r="Y137" i="9"/>
  <c r="X137" i="9"/>
  <c r="W137" i="9"/>
  <c r="V137" i="9"/>
  <c r="U137" i="9"/>
  <c r="T137" i="9"/>
  <c r="S137" i="9"/>
  <c r="R137" i="9"/>
  <c r="Q137" i="9"/>
  <c r="P137" i="9"/>
  <c r="O137" i="9"/>
  <c r="N137" i="9"/>
  <c r="M137" i="9"/>
  <c r="L137" i="9"/>
  <c r="K137" i="9"/>
  <c r="J137" i="9"/>
  <c r="I137" i="9"/>
  <c r="H137" i="9"/>
  <c r="F137" i="9"/>
  <c r="I133" i="9"/>
  <c r="I131" i="9" s="1"/>
  <c r="H133" i="9"/>
  <c r="H131" i="9" s="1"/>
  <c r="G133" i="9"/>
  <c r="G132" i="9"/>
  <c r="AG131" i="9"/>
  <c r="AD131" i="9"/>
  <c r="AC131" i="9"/>
  <c r="AB131" i="9"/>
  <c r="AA131" i="9"/>
  <c r="Z131" i="9"/>
  <c r="Y131" i="9"/>
  <c r="X131" i="9"/>
  <c r="W131" i="9"/>
  <c r="V131" i="9"/>
  <c r="U131" i="9"/>
  <c r="T131" i="9"/>
  <c r="S131" i="9"/>
  <c r="R131" i="9"/>
  <c r="Q131" i="9"/>
  <c r="P131" i="9"/>
  <c r="O131" i="9"/>
  <c r="N131" i="9"/>
  <c r="M131" i="9"/>
  <c r="L131" i="9"/>
  <c r="K131" i="9"/>
  <c r="J131" i="9"/>
  <c r="F131" i="9"/>
  <c r="J128" i="9"/>
  <c r="I128" i="9"/>
  <c r="H128" i="9"/>
  <c r="H126" i="9" s="1"/>
  <c r="G128" i="9"/>
  <c r="G127" i="9"/>
  <c r="G126" i="9" s="1"/>
  <c r="AG126" i="9"/>
  <c r="AD126" i="9"/>
  <c r="AC126" i="9"/>
  <c r="AB126" i="9"/>
  <c r="AA126" i="9"/>
  <c r="Z126" i="9"/>
  <c r="Y126" i="9"/>
  <c r="X126" i="9"/>
  <c r="W126" i="9"/>
  <c r="V126" i="9"/>
  <c r="U126" i="9"/>
  <c r="T126" i="9"/>
  <c r="S126" i="9"/>
  <c r="R126" i="9"/>
  <c r="Q126" i="9"/>
  <c r="P126" i="9"/>
  <c r="O126" i="9"/>
  <c r="N126" i="9"/>
  <c r="M126" i="9"/>
  <c r="L126" i="9"/>
  <c r="K126" i="9"/>
  <c r="F126" i="9"/>
  <c r="J123" i="9"/>
  <c r="I123" i="9"/>
  <c r="H123" i="9"/>
  <c r="G123" i="9"/>
  <c r="G122" i="9"/>
  <c r="AG121" i="9"/>
  <c r="AD121" i="9"/>
  <c r="AC121" i="9"/>
  <c r="AB121" i="9"/>
  <c r="AA121" i="9"/>
  <c r="Z121" i="9"/>
  <c r="Y121" i="9"/>
  <c r="X121" i="9"/>
  <c r="W121" i="9"/>
  <c r="V121" i="9"/>
  <c r="U121" i="9"/>
  <c r="T121" i="9"/>
  <c r="S121" i="9"/>
  <c r="R121" i="9"/>
  <c r="Q121" i="9"/>
  <c r="P121" i="9"/>
  <c r="O121" i="9"/>
  <c r="N121" i="9"/>
  <c r="M121" i="9"/>
  <c r="L121" i="9"/>
  <c r="K121" i="9"/>
  <c r="J121" i="9"/>
  <c r="I121" i="9"/>
  <c r="F121" i="9"/>
  <c r="AG117" i="9"/>
  <c r="AH31" i="1" s="1"/>
  <c r="AD117" i="9"/>
  <c r="AC117" i="9"/>
  <c r="AB117" i="9"/>
  <c r="AA117" i="9"/>
  <c r="Z117" i="9"/>
  <c r="Y117" i="9"/>
  <c r="X117" i="9"/>
  <c r="W117" i="9"/>
  <c r="V117" i="9"/>
  <c r="U117" i="9"/>
  <c r="T117" i="9"/>
  <c r="S117" i="9"/>
  <c r="R117" i="9"/>
  <c r="Q117" i="9"/>
  <c r="P117" i="9"/>
  <c r="O117" i="9"/>
  <c r="N117" i="9"/>
  <c r="M117" i="9"/>
  <c r="L117" i="9"/>
  <c r="K117" i="9"/>
  <c r="J117" i="9"/>
  <c r="I117" i="9"/>
  <c r="H117" i="9"/>
  <c r="G117" i="9"/>
  <c r="F117" i="9"/>
  <c r="AG116" i="9"/>
  <c r="AH30" i="1" s="1"/>
  <c r="AD116" i="9"/>
  <c r="AC116" i="9"/>
  <c r="AB116" i="9"/>
  <c r="AA116" i="9"/>
  <c r="AG115" i="9"/>
  <c r="AH29" i="1" s="1"/>
  <c r="AD115" i="9"/>
  <c r="AC115" i="9"/>
  <c r="AB115" i="9"/>
  <c r="AA115" i="9"/>
  <c r="Z115" i="9"/>
  <c r="Y115" i="9"/>
  <c r="X115" i="9"/>
  <c r="W115" i="9"/>
  <c r="V115" i="9"/>
  <c r="U115" i="9"/>
  <c r="T115" i="9"/>
  <c r="S115" i="9"/>
  <c r="R115" i="9"/>
  <c r="Q115" i="9"/>
  <c r="P115" i="9"/>
  <c r="O115" i="9"/>
  <c r="N115" i="9"/>
  <c r="M115" i="9"/>
  <c r="L115" i="9"/>
  <c r="K115" i="9"/>
  <c r="F115" i="9"/>
  <c r="AG114" i="9"/>
  <c r="AH28" i="1" s="1"/>
  <c r="AD114" i="9"/>
  <c r="AC114" i="9"/>
  <c r="AB114" i="9"/>
  <c r="AA114" i="9"/>
  <c r="Z114" i="9"/>
  <c r="Y114" i="9"/>
  <c r="X114" i="9"/>
  <c r="W114" i="9"/>
  <c r="V114" i="9"/>
  <c r="U114" i="9"/>
  <c r="T114" i="9"/>
  <c r="S114" i="9"/>
  <c r="R114" i="9"/>
  <c r="Q114" i="9"/>
  <c r="P114" i="9"/>
  <c r="O114" i="9"/>
  <c r="N114" i="9"/>
  <c r="M114" i="9"/>
  <c r="L114" i="9"/>
  <c r="K114" i="9"/>
  <c r="F114" i="9"/>
  <c r="I109" i="9"/>
  <c r="H109" i="9"/>
  <c r="G109" i="9"/>
  <c r="I108" i="9"/>
  <c r="I107" i="9" s="1"/>
  <c r="H108" i="9"/>
  <c r="H107" i="9" s="1"/>
  <c r="G108" i="9"/>
  <c r="AG107" i="9"/>
  <c r="AD107" i="9"/>
  <c r="AC107" i="9"/>
  <c r="AB107" i="9"/>
  <c r="AA107" i="9"/>
  <c r="Z107" i="9"/>
  <c r="Y107" i="9"/>
  <c r="X107" i="9"/>
  <c r="W107" i="9"/>
  <c r="V107" i="9"/>
  <c r="U107" i="9"/>
  <c r="T107" i="9"/>
  <c r="S107" i="9"/>
  <c r="R107" i="9"/>
  <c r="Q107" i="9"/>
  <c r="P107" i="9"/>
  <c r="O107" i="9"/>
  <c r="N107" i="9"/>
  <c r="M107" i="9"/>
  <c r="L107" i="9"/>
  <c r="K107" i="9"/>
  <c r="J107" i="9"/>
  <c r="F107" i="9"/>
  <c r="J103" i="9"/>
  <c r="I103" i="9"/>
  <c r="H103" i="9"/>
  <c r="G103" i="9"/>
  <c r="J102" i="9"/>
  <c r="I102" i="9"/>
  <c r="H102" i="9"/>
  <c r="G102" i="9"/>
  <c r="G101" i="9" s="1"/>
  <c r="AG101" i="9"/>
  <c r="AD101" i="9"/>
  <c r="AD94" i="9" s="1"/>
  <c r="AC101" i="9"/>
  <c r="AB101" i="9"/>
  <c r="AA101" i="9"/>
  <c r="Z101" i="9"/>
  <c r="Y101" i="9"/>
  <c r="X101" i="9"/>
  <c r="X113" i="9" s="1"/>
  <c r="W101" i="9"/>
  <c r="V101" i="9"/>
  <c r="U101" i="9"/>
  <c r="T101" i="9"/>
  <c r="S101" i="9"/>
  <c r="R101" i="9"/>
  <c r="Q101" i="9"/>
  <c r="P101" i="9"/>
  <c r="O101" i="9"/>
  <c r="N101" i="9"/>
  <c r="M101" i="9"/>
  <c r="L101" i="9"/>
  <c r="K101" i="9"/>
  <c r="J101" i="9"/>
  <c r="H101" i="9"/>
  <c r="F101" i="9"/>
  <c r="J97" i="9"/>
  <c r="J115" i="9" s="1"/>
  <c r="I97" i="9"/>
  <c r="H97" i="9"/>
  <c r="G97" i="9"/>
  <c r="G115" i="9" s="1"/>
  <c r="J96" i="9"/>
  <c r="I96" i="9"/>
  <c r="H96" i="9"/>
  <c r="G96" i="9"/>
  <c r="AG95" i="9"/>
  <c r="AD95" i="9"/>
  <c r="AC95" i="9"/>
  <c r="AB95" i="9"/>
  <c r="AA95" i="9"/>
  <c r="Z95" i="9"/>
  <c r="Y95" i="9"/>
  <c r="X95" i="9"/>
  <c r="W95" i="9"/>
  <c r="V95" i="9"/>
  <c r="V94" i="9" s="1"/>
  <c r="U95" i="9"/>
  <c r="T95" i="9"/>
  <c r="S95" i="9"/>
  <c r="R95" i="9"/>
  <c r="Q95" i="9"/>
  <c r="P95" i="9"/>
  <c r="P94" i="9" s="1"/>
  <c r="O95" i="9"/>
  <c r="N95" i="9"/>
  <c r="M95" i="9"/>
  <c r="L95" i="9"/>
  <c r="K95" i="9"/>
  <c r="F95" i="9"/>
  <c r="AG91" i="9"/>
  <c r="AD91" i="9"/>
  <c r="AC91" i="9"/>
  <c r="AB91" i="9"/>
  <c r="AA91" i="9"/>
  <c r="Z91" i="9"/>
  <c r="Y91" i="9"/>
  <c r="X91" i="9"/>
  <c r="W91" i="9"/>
  <c r="V91" i="9"/>
  <c r="U91" i="9"/>
  <c r="T91" i="9"/>
  <c r="S91" i="9"/>
  <c r="R91" i="9"/>
  <c r="Q91" i="9"/>
  <c r="P91" i="9"/>
  <c r="O91" i="9"/>
  <c r="N91" i="9"/>
  <c r="M91" i="9"/>
  <c r="L91" i="9"/>
  <c r="K91" i="9"/>
  <c r="J91" i="9"/>
  <c r="I91" i="9"/>
  <c r="H91" i="9"/>
  <c r="G91" i="9"/>
  <c r="F91" i="9"/>
  <c r="AG90" i="9"/>
  <c r="AD90" i="9"/>
  <c r="AC90" i="9"/>
  <c r="AB90" i="9"/>
  <c r="AA90" i="9"/>
  <c r="Z90" i="9"/>
  <c r="Y90" i="9"/>
  <c r="X90" i="9"/>
  <c r="W90" i="9"/>
  <c r="V90" i="9"/>
  <c r="U90" i="9"/>
  <c r="T90" i="9"/>
  <c r="S90" i="9"/>
  <c r="R90" i="9"/>
  <c r="Q90" i="9"/>
  <c r="P90" i="9"/>
  <c r="O90" i="9"/>
  <c r="N90" i="9"/>
  <c r="M90" i="9"/>
  <c r="L90" i="9"/>
  <c r="K90" i="9"/>
  <c r="F90" i="9"/>
  <c r="AG89" i="9"/>
  <c r="AD89" i="9"/>
  <c r="AC89" i="9"/>
  <c r="AB89" i="9"/>
  <c r="AA89" i="9"/>
  <c r="Z89" i="9"/>
  <c r="Y89" i="9"/>
  <c r="X89" i="9"/>
  <c r="W89" i="9"/>
  <c r="V89" i="9"/>
  <c r="U89" i="9"/>
  <c r="T89" i="9"/>
  <c r="S89" i="9"/>
  <c r="R89" i="9"/>
  <c r="Q89" i="9"/>
  <c r="P89" i="9"/>
  <c r="O89" i="9"/>
  <c r="N89" i="9"/>
  <c r="M89" i="9"/>
  <c r="L89" i="9"/>
  <c r="K89" i="9"/>
  <c r="F89" i="9"/>
  <c r="I85" i="9"/>
  <c r="H85" i="9"/>
  <c r="G85" i="9"/>
  <c r="G83" i="9" s="1"/>
  <c r="I84" i="9"/>
  <c r="I83" i="9" s="1"/>
  <c r="H84" i="9"/>
  <c r="G84" i="9"/>
  <c r="AG83" i="9"/>
  <c r="AD83" i="9"/>
  <c r="AC83" i="9"/>
  <c r="AB83" i="9"/>
  <c r="AA83" i="9"/>
  <c r="Z83" i="9"/>
  <c r="Y83" i="9"/>
  <c r="X83" i="9"/>
  <c r="W83" i="9"/>
  <c r="V83" i="9"/>
  <c r="U83" i="9"/>
  <c r="T83" i="9"/>
  <c r="S83" i="9"/>
  <c r="R83" i="9"/>
  <c r="Q83" i="9"/>
  <c r="P83" i="9"/>
  <c r="O83" i="9"/>
  <c r="N83" i="9"/>
  <c r="M83" i="9"/>
  <c r="L83" i="9"/>
  <c r="K83" i="9"/>
  <c r="J83" i="9"/>
  <c r="F83" i="9"/>
  <c r="J80" i="9"/>
  <c r="I80" i="9"/>
  <c r="H80" i="9"/>
  <c r="G80" i="9"/>
  <c r="J79" i="9"/>
  <c r="J89" i="9" s="1"/>
  <c r="I79" i="9"/>
  <c r="I78" i="9" s="1"/>
  <c r="H79" i="9"/>
  <c r="G79" i="9"/>
  <c r="AG78" i="9"/>
  <c r="AD78" i="9"/>
  <c r="AC78" i="9"/>
  <c r="AB78" i="9"/>
  <c r="AB72" i="9" s="1"/>
  <c r="AA78" i="9"/>
  <c r="AA72" i="9" s="1"/>
  <c r="Z78" i="9"/>
  <c r="Y78" i="9"/>
  <c r="X78" i="9"/>
  <c r="W78" i="9"/>
  <c r="V78" i="9"/>
  <c r="U78" i="9"/>
  <c r="T78" i="9"/>
  <c r="S78" i="9"/>
  <c r="R78" i="9"/>
  <c r="Q78" i="9"/>
  <c r="P78" i="9"/>
  <c r="O78" i="9"/>
  <c r="N78" i="9"/>
  <c r="M78" i="9"/>
  <c r="L78" i="9"/>
  <c r="K78" i="9"/>
  <c r="F78" i="9"/>
  <c r="J75" i="9"/>
  <c r="J73" i="9" s="1"/>
  <c r="I75" i="9"/>
  <c r="I90" i="9" s="1"/>
  <c r="H75" i="9"/>
  <c r="G75" i="9"/>
  <c r="I74" i="9"/>
  <c r="H74" i="9"/>
  <c r="G74" i="9"/>
  <c r="AG73" i="9"/>
  <c r="AD73" i="9"/>
  <c r="AC73" i="9"/>
  <c r="AB73" i="9"/>
  <c r="AA73" i="9"/>
  <c r="Z73" i="9"/>
  <c r="Y73" i="9"/>
  <c r="X73" i="9"/>
  <c r="W73" i="9"/>
  <c r="V73" i="9"/>
  <c r="U73" i="9"/>
  <c r="T73" i="9"/>
  <c r="S73" i="9"/>
  <c r="R73" i="9"/>
  <c r="Q73" i="9"/>
  <c r="P73" i="9"/>
  <c r="O73" i="9"/>
  <c r="N73" i="9"/>
  <c r="M73" i="9"/>
  <c r="L73" i="9"/>
  <c r="K73" i="9"/>
  <c r="F73" i="9"/>
  <c r="AG69" i="9"/>
  <c r="AH20" i="1" s="1"/>
  <c r="AD69" i="9"/>
  <c r="AC69" i="9"/>
  <c r="AB69" i="9"/>
  <c r="AA69" i="9"/>
  <c r="Z69" i="9"/>
  <c r="Y69" i="9"/>
  <c r="X69" i="9"/>
  <c r="W69" i="9"/>
  <c r="V69" i="9"/>
  <c r="U69" i="9"/>
  <c r="T69" i="9"/>
  <c r="S69" i="9"/>
  <c r="R69" i="9"/>
  <c r="Q69" i="9"/>
  <c r="P69" i="9"/>
  <c r="O69" i="9"/>
  <c r="N69" i="9"/>
  <c r="M69" i="9"/>
  <c r="L69" i="9"/>
  <c r="K69" i="9"/>
  <c r="J69" i="9"/>
  <c r="I69" i="9"/>
  <c r="H69" i="9"/>
  <c r="G69" i="9"/>
  <c r="F69" i="9"/>
  <c r="AG68" i="9"/>
  <c r="AH19" i="1" s="1"/>
  <c r="AD68" i="9"/>
  <c r="AC68" i="9"/>
  <c r="AB68" i="9"/>
  <c r="AA68" i="9"/>
  <c r="Z68" i="9"/>
  <c r="Y68" i="9"/>
  <c r="X68" i="9"/>
  <c r="W68" i="9"/>
  <c r="V68" i="9"/>
  <c r="U68" i="9"/>
  <c r="T68" i="9"/>
  <c r="S68" i="9"/>
  <c r="R68" i="9"/>
  <c r="Q68" i="9"/>
  <c r="P68" i="9"/>
  <c r="O68" i="9"/>
  <c r="N68" i="9"/>
  <c r="M68" i="9"/>
  <c r="L68" i="9"/>
  <c r="K68" i="9"/>
  <c r="F68" i="9"/>
  <c r="AG67" i="9"/>
  <c r="AH18" i="1" s="1"/>
  <c r="AD67" i="9"/>
  <c r="AC67" i="9"/>
  <c r="AB67" i="9"/>
  <c r="AA67" i="9"/>
  <c r="Z67" i="9"/>
  <c r="Y67" i="9"/>
  <c r="X67" i="9"/>
  <c r="W67" i="9"/>
  <c r="V67" i="9"/>
  <c r="U67" i="9"/>
  <c r="T67" i="9"/>
  <c r="S67" i="9"/>
  <c r="R67" i="9"/>
  <c r="Q67" i="9"/>
  <c r="P67" i="9"/>
  <c r="O67" i="9"/>
  <c r="N67" i="9"/>
  <c r="M67" i="9"/>
  <c r="L67" i="9"/>
  <c r="K67" i="9"/>
  <c r="J67" i="9"/>
  <c r="I67" i="9"/>
  <c r="H67" i="9"/>
  <c r="F67" i="9"/>
  <c r="I63" i="9"/>
  <c r="I61" i="9" s="1"/>
  <c r="H63" i="9"/>
  <c r="H61" i="9" s="1"/>
  <c r="G63" i="9"/>
  <c r="G62" i="9"/>
  <c r="AG61" i="9"/>
  <c r="AD61" i="9"/>
  <c r="AC61" i="9"/>
  <c r="AB61" i="9"/>
  <c r="AA61" i="9"/>
  <c r="Z61" i="9"/>
  <c r="Y61" i="9"/>
  <c r="X61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F61" i="9"/>
  <c r="J58" i="9"/>
  <c r="J56" i="9" s="1"/>
  <c r="I58" i="9"/>
  <c r="H58" i="9"/>
  <c r="G58" i="9"/>
  <c r="G57" i="9"/>
  <c r="AG56" i="9"/>
  <c r="AD56" i="9"/>
  <c r="AC56" i="9"/>
  <c r="AB56" i="9"/>
  <c r="AB50" i="9" s="1"/>
  <c r="AA56" i="9"/>
  <c r="AA50" i="9" s="1"/>
  <c r="Z56" i="9"/>
  <c r="Y56" i="9"/>
  <c r="X56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I56" i="9"/>
  <c r="H56" i="9"/>
  <c r="F56" i="9"/>
  <c r="J53" i="9"/>
  <c r="J51" i="9" s="1"/>
  <c r="J66" i="9" s="1"/>
  <c r="I53" i="9"/>
  <c r="I51" i="9" s="1"/>
  <c r="H53" i="9"/>
  <c r="G53" i="9"/>
  <c r="G52" i="9"/>
  <c r="AG51" i="9"/>
  <c r="AD51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F51" i="9"/>
  <c r="AG47" i="9"/>
  <c r="AH15" i="1" s="1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AG46" i="9"/>
  <c r="AH14" i="1" s="1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F46" i="9"/>
  <c r="AG45" i="9"/>
  <c r="AH13" i="1" s="1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F45" i="9"/>
  <c r="I41" i="9"/>
  <c r="I39" i="9" s="1"/>
  <c r="H41" i="9"/>
  <c r="H39" i="9" s="1"/>
  <c r="G41" i="9"/>
  <c r="AG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F39" i="9"/>
  <c r="J36" i="9"/>
  <c r="J34" i="9" s="1"/>
  <c r="I36" i="9"/>
  <c r="I34" i="9" s="1"/>
  <c r="H36" i="9"/>
  <c r="H34" i="9" s="1"/>
  <c r="G36" i="9"/>
  <c r="G35" i="9"/>
  <c r="G45" i="9" s="1"/>
  <c r="AG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G34" i="9"/>
  <c r="F34" i="9"/>
  <c r="J31" i="9"/>
  <c r="I31" i="9"/>
  <c r="H31" i="9"/>
  <c r="H29" i="9" s="1"/>
  <c r="G31" i="9"/>
  <c r="G29" i="9" s="1"/>
  <c r="AG29" i="9"/>
  <c r="AD29" i="9"/>
  <c r="AC29" i="9"/>
  <c r="AB29" i="9"/>
  <c r="AA29" i="9"/>
  <c r="AA44" i="9" s="1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F29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AD24" i="9"/>
  <c r="AC24" i="9"/>
  <c r="AB24" i="9"/>
  <c r="AA24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F23" i="9"/>
  <c r="AD22" i="9"/>
  <c r="AC22" i="9"/>
  <c r="AB22" i="9"/>
  <c r="AA22" i="9"/>
  <c r="Z22" i="9"/>
  <c r="Y22" i="9"/>
  <c r="X22" i="9"/>
  <c r="W22" i="9"/>
  <c r="V22" i="9"/>
  <c r="U22" i="9"/>
  <c r="T22" i="9"/>
  <c r="T21" i="9" s="1"/>
  <c r="S22" i="9"/>
  <c r="R22" i="9"/>
  <c r="Q22" i="9"/>
  <c r="P22" i="9"/>
  <c r="O22" i="9"/>
  <c r="N22" i="9"/>
  <c r="M22" i="9"/>
  <c r="L22" i="9"/>
  <c r="K22" i="9"/>
  <c r="F22" i="9"/>
  <c r="I17" i="9"/>
  <c r="H17" i="9"/>
  <c r="G17" i="9"/>
  <c r="I16" i="9"/>
  <c r="H16" i="9"/>
  <c r="G16" i="9"/>
  <c r="AG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F15" i="9"/>
  <c r="J11" i="9"/>
  <c r="I11" i="9"/>
  <c r="H11" i="9"/>
  <c r="G11" i="9"/>
  <c r="J10" i="9"/>
  <c r="I10" i="9"/>
  <c r="I22" i="9" s="1"/>
  <c r="H10" i="9"/>
  <c r="G10" i="9"/>
  <c r="AG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F9" i="9"/>
  <c r="J5" i="9"/>
  <c r="I5" i="9"/>
  <c r="I3" i="9" s="1"/>
  <c r="H5" i="9"/>
  <c r="G5" i="9"/>
  <c r="H4" i="9"/>
  <c r="G4" i="9"/>
  <c r="G3" i="9" s="1"/>
  <c r="AG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O3" i="9"/>
  <c r="N3" i="9"/>
  <c r="M3" i="9"/>
  <c r="L3" i="9"/>
  <c r="K3" i="9"/>
  <c r="F3" i="9"/>
  <c r="AH21" i="1" l="1"/>
  <c r="H171" i="9"/>
  <c r="Y72" i="9"/>
  <c r="Z21" i="9"/>
  <c r="J46" i="9"/>
  <c r="AB44" i="9"/>
  <c r="V158" i="9"/>
  <c r="AA158" i="9"/>
  <c r="AC183" i="9"/>
  <c r="X209" i="9"/>
  <c r="N142" i="9"/>
  <c r="H158" i="9"/>
  <c r="AD183" i="9"/>
  <c r="W233" i="9"/>
  <c r="W232" i="9" s="1"/>
  <c r="R21" i="9"/>
  <c r="X50" i="9"/>
  <c r="F94" i="9"/>
  <c r="AB120" i="9"/>
  <c r="AD142" i="9"/>
  <c r="S44" i="9"/>
  <c r="Z158" i="9"/>
  <c r="M183" i="9"/>
  <c r="V209" i="9"/>
  <c r="W142" i="9"/>
  <c r="AB21" i="9"/>
  <c r="J23" i="9"/>
  <c r="J138" i="9"/>
  <c r="P158" i="9"/>
  <c r="N183" i="9"/>
  <c r="S88" i="9"/>
  <c r="K50" i="9"/>
  <c r="K44" i="9"/>
  <c r="G9" i="9"/>
  <c r="J184" i="9"/>
  <c r="J239" i="9" s="1"/>
  <c r="I177" i="9"/>
  <c r="AD209" i="9"/>
  <c r="O50" i="9"/>
  <c r="P50" i="9"/>
  <c r="AC142" i="9"/>
  <c r="H9" i="9"/>
  <c r="G61" i="9"/>
  <c r="O94" i="9"/>
  <c r="G107" i="9"/>
  <c r="X94" i="9"/>
  <c r="AH32" i="1"/>
  <c r="J158" i="9"/>
  <c r="P164" i="9"/>
  <c r="X142" i="9"/>
  <c r="H142" i="9"/>
  <c r="R66" i="9"/>
  <c r="F136" i="9"/>
  <c r="AD136" i="9"/>
  <c r="W44" i="9"/>
  <c r="W217" i="9"/>
  <c r="F242" i="9"/>
  <c r="W50" i="9"/>
  <c r="O190" i="9"/>
  <c r="P240" i="9"/>
  <c r="O66" i="9"/>
  <c r="Z113" i="9"/>
  <c r="I101" i="9"/>
  <c r="R164" i="9"/>
  <c r="I185" i="9"/>
  <c r="H78" i="9"/>
  <c r="AA94" i="9"/>
  <c r="AC164" i="9"/>
  <c r="Z66" i="9"/>
  <c r="T164" i="9"/>
  <c r="AH48" i="1"/>
  <c r="AC44" i="9"/>
  <c r="AA66" i="9"/>
  <c r="U183" i="9"/>
  <c r="AD241" i="9"/>
  <c r="AD245" i="9"/>
  <c r="AH59" i="1"/>
  <c r="AD233" i="9"/>
  <c r="AD239" i="9" s="1"/>
  <c r="AD238" i="9" s="1"/>
  <c r="V44" i="9"/>
  <c r="AG136" i="9"/>
  <c r="Q113" i="9"/>
  <c r="G114" i="9"/>
  <c r="I15" i="9"/>
  <c r="M44" i="9"/>
  <c r="H44" i="9"/>
  <c r="G73" i="9"/>
  <c r="W190" i="9"/>
  <c r="X158" i="9"/>
  <c r="L183" i="9"/>
  <c r="T50" i="9"/>
  <c r="W94" i="9"/>
  <c r="AD44" i="9"/>
  <c r="P44" i="9"/>
  <c r="L50" i="9"/>
  <c r="S158" i="9"/>
  <c r="V190" i="9"/>
  <c r="S233" i="9"/>
  <c r="S232" i="9" s="1"/>
  <c r="G15" i="9"/>
  <c r="Y21" i="9"/>
  <c r="X240" i="9"/>
  <c r="O21" i="9"/>
  <c r="N44" i="9"/>
  <c r="M72" i="9"/>
  <c r="N94" i="9"/>
  <c r="I95" i="9"/>
  <c r="U158" i="9"/>
  <c r="Z164" i="9"/>
  <c r="Y240" i="9"/>
  <c r="AA239" i="9"/>
  <c r="I46" i="9"/>
  <c r="K183" i="9"/>
  <c r="K164" i="9"/>
  <c r="AB239" i="9"/>
  <c r="AA21" i="9"/>
  <c r="O44" i="9"/>
  <c r="AI25" i="1"/>
  <c r="AH25" i="1"/>
  <c r="L120" i="9"/>
  <c r="G137" i="9"/>
  <c r="F239" i="9"/>
  <c r="F238" i="9" s="1"/>
  <c r="F7" i="1"/>
  <c r="AC239" i="9"/>
  <c r="S242" i="9"/>
  <c r="V113" i="9"/>
  <c r="I165" i="9"/>
  <c r="I184" i="9"/>
  <c r="J9" i="9"/>
  <c r="J22" i="9"/>
  <c r="H22" i="9"/>
  <c r="L66" i="9"/>
  <c r="W66" i="9"/>
  <c r="K158" i="9"/>
  <c r="M66" i="9"/>
  <c r="G51" i="9"/>
  <c r="R160" i="9"/>
  <c r="R240" i="9" s="1"/>
  <c r="R143" i="9"/>
  <c r="AH42" i="1"/>
  <c r="H185" i="9"/>
  <c r="I9" i="9"/>
  <c r="N88" i="9"/>
  <c r="I89" i="9"/>
  <c r="M158" i="9"/>
  <c r="X190" i="9"/>
  <c r="G90" i="9"/>
  <c r="N158" i="9"/>
  <c r="F190" i="9"/>
  <c r="F209" i="9"/>
  <c r="H212" i="9"/>
  <c r="H241" i="9" s="1"/>
  <c r="G242" i="9"/>
  <c r="S66" i="9"/>
  <c r="AK54" i="1"/>
  <c r="AH52" i="1"/>
  <c r="AH54" i="1" s="1"/>
  <c r="G46" i="9"/>
  <c r="U66" i="9"/>
  <c r="G67" i="9"/>
  <c r="G56" i="9"/>
  <c r="V240" i="9"/>
  <c r="J29" i="9"/>
  <c r="J44" i="9" s="1"/>
  <c r="T120" i="9"/>
  <c r="V142" i="9"/>
  <c r="P233" i="9"/>
  <c r="P232" i="9" s="1"/>
  <c r="P227" i="9"/>
  <c r="AB222" i="9"/>
  <c r="Q21" i="9"/>
  <c r="AA242" i="9"/>
  <c r="AD113" i="9"/>
  <c r="P190" i="9"/>
  <c r="J114" i="9"/>
  <c r="J95" i="9"/>
  <c r="J113" i="9" s="1"/>
  <c r="K209" i="9"/>
  <c r="Q233" i="9"/>
  <c r="Q239" i="9" s="1"/>
  <c r="V66" i="9"/>
  <c r="J90" i="9"/>
  <c r="G185" i="9"/>
  <c r="H23" i="9"/>
  <c r="H21" i="9" s="1"/>
  <c r="H3" i="9"/>
  <c r="I29" i="9"/>
  <c r="I44" i="9" s="1"/>
  <c r="S50" i="9"/>
  <c r="AI24" i="1"/>
  <c r="AH24" i="1"/>
  <c r="AA164" i="9"/>
  <c r="N209" i="9"/>
  <c r="I212" i="9"/>
  <c r="I241" i="9" s="1"/>
  <c r="M232" i="9"/>
  <c r="N242" i="9"/>
  <c r="Y50" i="9"/>
  <c r="U136" i="9"/>
  <c r="G131" i="9"/>
  <c r="Y158" i="9"/>
  <c r="J197" i="9"/>
  <c r="J209" i="9" s="1"/>
  <c r="J212" i="9"/>
  <c r="J241" i="9" s="1"/>
  <c r="W113" i="9"/>
  <c r="G138" i="9"/>
  <c r="F158" i="9"/>
  <c r="Z142" i="9"/>
  <c r="Y190" i="9"/>
  <c r="R233" i="9"/>
  <c r="R232" i="9" s="1"/>
  <c r="AC240" i="9"/>
  <c r="T242" i="9"/>
  <c r="H83" i="9"/>
  <c r="N120" i="9"/>
  <c r="G142" i="9"/>
  <c r="AA142" i="9"/>
  <c r="R183" i="9"/>
  <c r="J3" i="9"/>
  <c r="K239" i="9"/>
  <c r="F240" i="9"/>
  <c r="AD240" i="9"/>
  <c r="Q44" i="9"/>
  <c r="Y113" i="9"/>
  <c r="O136" i="9"/>
  <c r="M142" i="9"/>
  <c r="S183" i="9"/>
  <c r="S209" i="9"/>
  <c r="T233" i="9"/>
  <c r="T239" i="9" s="1"/>
  <c r="L239" i="9"/>
  <c r="V242" i="9"/>
  <c r="R44" i="9"/>
  <c r="F66" i="9"/>
  <c r="U72" i="9"/>
  <c r="P120" i="9"/>
  <c r="AI34" i="1"/>
  <c r="AI37" i="1" s="1"/>
  <c r="AH34" i="1"/>
  <c r="I158" i="9"/>
  <c r="AC158" i="9"/>
  <c r="V183" i="9"/>
  <c r="T183" i="9"/>
  <c r="T209" i="9"/>
  <c r="AD190" i="9"/>
  <c r="X233" i="9"/>
  <c r="X232" i="9" s="1"/>
  <c r="U233" i="9"/>
  <c r="U232" i="9" s="1"/>
  <c r="M21" i="9"/>
  <c r="L240" i="9"/>
  <c r="W242" i="9"/>
  <c r="I50" i="9"/>
  <c r="AC66" i="9"/>
  <c r="K94" i="9"/>
  <c r="Q120" i="9"/>
  <c r="AC136" i="9"/>
  <c r="J142" i="9"/>
  <c r="AD158" i="9"/>
  <c r="M240" i="9"/>
  <c r="L44" i="9"/>
  <c r="AD66" i="9"/>
  <c r="T66" i="9"/>
  <c r="L72" i="9"/>
  <c r="G78" i="9"/>
  <c r="G88" i="9" s="1"/>
  <c r="AI23" i="1"/>
  <c r="AH23" i="1"/>
  <c r="G95" i="9"/>
  <c r="F113" i="9"/>
  <c r="J126" i="9"/>
  <c r="K142" i="9"/>
  <c r="X164" i="9"/>
  <c r="M164" i="9"/>
  <c r="Y232" i="9"/>
  <c r="G23" i="9"/>
  <c r="O239" i="9"/>
  <c r="N240" i="9"/>
  <c r="N243" i="9" s="1"/>
  <c r="U44" i="9"/>
  <c r="X44" i="9"/>
  <c r="K66" i="9"/>
  <c r="S72" i="9"/>
  <c r="AI35" i="1"/>
  <c r="AH35" i="1"/>
  <c r="I171" i="9"/>
  <c r="L232" i="9"/>
  <c r="O232" i="9"/>
  <c r="AB242" i="9"/>
  <c r="N66" i="9"/>
  <c r="H68" i="9"/>
  <c r="AA88" i="9"/>
  <c r="V120" i="9"/>
  <c r="O142" i="9"/>
  <c r="AB164" i="9"/>
  <c r="Z183" i="9"/>
  <c r="R222" i="9"/>
  <c r="H15" i="9"/>
  <c r="S239" i="9"/>
  <c r="Y44" i="9"/>
  <c r="I68" i="9"/>
  <c r="W136" i="9"/>
  <c r="U142" i="9"/>
  <c r="F183" i="9"/>
  <c r="AA183" i="9"/>
  <c r="K212" i="9"/>
  <c r="K241" i="9" s="1"/>
  <c r="AA209" i="9"/>
  <c r="Z44" i="9"/>
  <c r="AC72" i="9"/>
  <c r="R113" i="9"/>
  <c r="I115" i="9"/>
  <c r="N113" i="9"/>
  <c r="X120" i="9"/>
  <c r="Q158" i="9"/>
  <c r="J171" i="9"/>
  <c r="AB183" i="9"/>
  <c r="P209" i="9"/>
  <c r="AB209" i="9"/>
  <c r="L21" i="9"/>
  <c r="U239" i="9"/>
  <c r="K242" i="9"/>
  <c r="F44" i="9"/>
  <c r="Q66" i="9"/>
  <c r="AD88" i="9"/>
  <c r="J78" i="9"/>
  <c r="S94" i="9"/>
  <c r="O113" i="9"/>
  <c r="Y120" i="9"/>
  <c r="AI36" i="1"/>
  <c r="AH36" i="1"/>
  <c r="Q190" i="9"/>
  <c r="M212" i="9"/>
  <c r="M209" i="9" s="1"/>
  <c r="AA232" i="9"/>
  <c r="U240" i="9"/>
  <c r="L242" i="9"/>
  <c r="T44" i="9"/>
  <c r="AB66" i="9"/>
  <c r="K88" i="9"/>
  <c r="T72" i="9"/>
  <c r="P113" i="9"/>
  <c r="F142" i="9"/>
  <c r="S142" i="9"/>
  <c r="L164" i="9"/>
  <c r="G165" i="9"/>
  <c r="U164" i="9"/>
  <c r="N212" i="9"/>
  <c r="N241" i="9" s="1"/>
  <c r="AK59" i="1"/>
  <c r="AG190" i="9"/>
  <c r="AK48" i="1"/>
  <c r="AK42" i="1"/>
  <c r="AG241" i="9"/>
  <c r="AH63" i="1" s="1"/>
  <c r="AK32" i="1"/>
  <c r="AK21" i="1"/>
  <c r="AG50" i="9"/>
  <c r="AG232" i="9"/>
  <c r="AG142" i="9"/>
  <c r="AG94" i="9"/>
  <c r="AG113" i="9"/>
  <c r="AG240" i="9"/>
  <c r="AH62" i="1" s="1"/>
  <c r="AG66" i="9"/>
  <c r="AG239" i="9"/>
  <c r="AH61" i="1" s="1"/>
  <c r="AG242" i="9"/>
  <c r="AH64" i="1" s="1"/>
  <c r="AG44" i="9"/>
  <c r="AH16" i="1" s="1"/>
  <c r="AG246" i="9"/>
  <c r="O72" i="9"/>
  <c r="W72" i="9"/>
  <c r="AG72" i="9"/>
  <c r="F72" i="9"/>
  <c r="W88" i="9"/>
  <c r="Q72" i="9"/>
  <c r="K72" i="9"/>
  <c r="N239" i="9"/>
  <c r="L88" i="9"/>
  <c r="T88" i="9"/>
  <c r="AB88" i="9"/>
  <c r="N72" i="9"/>
  <c r="V72" i="9"/>
  <c r="AD72" i="9"/>
  <c r="N136" i="9"/>
  <c r="AD120" i="9"/>
  <c r="I242" i="9"/>
  <c r="Q242" i="9"/>
  <c r="Y242" i="9"/>
  <c r="V136" i="9"/>
  <c r="F120" i="9"/>
  <c r="K240" i="9"/>
  <c r="S240" i="9"/>
  <c r="Z239" i="9"/>
  <c r="L136" i="9"/>
  <c r="T136" i="9"/>
  <c r="AB136" i="9"/>
  <c r="M120" i="9"/>
  <c r="U120" i="9"/>
  <c r="AC120" i="9"/>
  <c r="M136" i="9"/>
  <c r="J240" i="9"/>
  <c r="J21" i="9"/>
  <c r="R72" i="9"/>
  <c r="R88" i="9"/>
  <c r="U209" i="9"/>
  <c r="U190" i="9"/>
  <c r="G22" i="9"/>
  <c r="AD242" i="9"/>
  <c r="G39" i="9"/>
  <c r="G44" i="9" s="1"/>
  <c r="J50" i="9"/>
  <c r="R50" i="9"/>
  <c r="Z50" i="9"/>
  <c r="H51" i="9"/>
  <c r="P66" i="9"/>
  <c r="X66" i="9"/>
  <c r="I73" i="9"/>
  <c r="Q88" i="9"/>
  <c r="Y88" i="9"/>
  <c r="H73" i="9"/>
  <c r="H89" i="9"/>
  <c r="V88" i="9"/>
  <c r="M94" i="9"/>
  <c r="M113" i="9"/>
  <c r="U94" i="9"/>
  <c r="U113" i="9"/>
  <c r="AC94" i="9"/>
  <c r="AC113" i="9"/>
  <c r="H115" i="9"/>
  <c r="H95" i="9"/>
  <c r="O164" i="9"/>
  <c r="W164" i="9"/>
  <c r="AG164" i="9"/>
  <c r="J185" i="9"/>
  <c r="G209" i="9"/>
  <c r="G190" i="9"/>
  <c r="AC241" i="9"/>
  <c r="AC245" i="9"/>
  <c r="AC246" i="9"/>
  <c r="AB232" i="9"/>
  <c r="AA240" i="9"/>
  <c r="AA238" i="9" s="1"/>
  <c r="K21" i="9"/>
  <c r="S21" i="9"/>
  <c r="Y239" i="9"/>
  <c r="O240" i="9"/>
  <c r="O243" i="9" s="1"/>
  <c r="W240" i="9"/>
  <c r="H242" i="9"/>
  <c r="P242" i="9"/>
  <c r="X242" i="9"/>
  <c r="H46" i="9"/>
  <c r="I66" i="9"/>
  <c r="Q164" i="9"/>
  <c r="Q183" i="9"/>
  <c r="Y164" i="9"/>
  <c r="Y183" i="9"/>
  <c r="H165" i="9"/>
  <c r="H184" i="9"/>
  <c r="R209" i="9"/>
  <c r="R190" i="9"/>
  <c r="Z209" i="9"/>
  <c r="Z190" i="9"/>
  <c r="AG245" i="9"/>
  <c r="Q234" i="9"/>
  <c r="Q232" i="9" s="1"/>
  <c r="Q217" i="9"/>
  <c r="AD246" i="9"/>
  <c r="AD248" i="9" s="1"/>
  <c r="AC247" i="9"/>
  <c r="M50" i="9"/>
  <c r="U50" i="9"/>
  <c r="AC50" i="9"/>
  <c r="AG88" i="9"/>
  <c r="K120" i="9"/>
  <c r="K136" i="9"/>
  <c r="S120" i="9"/>
  <c r="S136" i="9"/>
  <c r="AA120" i="9"/>
  <c r="AA136" i="9"/>
  <c r="I138" i="9"/>
  <c r="I126" i="9"/>
  <c r="I120" i="9" s="1"/>
  <c r="AD247" i="9"/>
  <c r="M239" i="9"/>
  <c r="J72" i="9"/>
  <c r="J88" i="9"/>
  <c r="U21" i="9"/>
  <c r="AC21" i="9"/>
  <c r="S243" i="9"/>
  <c r="I23" i="9"/>
  <c r="J242" i="9"/>
  <c r="R242" i="9"/>
  <c r="Z242" i="9"/>
  <c r="F50" i="9"/>
  <c r="N50" i="9"/>
  <c r="V50" i="9"/>
  <c r="AD50" i="9"/>
  <c r="J68" i="9"/>
  <c r="Y66" i="9"/>
  <c r="G68" i="9"/>
  <c r="F88" i="9"/>
  <c r="H114" i="9"/>
  <c r="Q94" i="9"/>
  <c r="Y94" i="9"/>
  <c r="L212" i="9"/>
  <c r="L241" i="9" s="1"/>
  <c r="T232" i="9"/>
  <c r="AG247" i="9"/>
  <c r="F21" i="9"/>
  <c r="N21" i="9"/>
  <c r="V21" i="9"/>
  <c r="AD21" i="9"/>
  <c r="Z240" i="9"/>
  <c r="O242" i="9"/>
  <c r="Z72" i="9"/>
  <c r="Z88" i="9"/>
  <c r="G164" i="9"/>
  <c r="G183" i="9"/>
  <c r="AC209" i="9"/>
  <c r="AC190" i="9"/>
  <c r="W21" i="9"/>
  <c r="J120" i="9"/>
  <c r="J136" i="9"/>
  <c r="R120" i="9"/>
  <c r="R136" i="9"/>
  <c r="Z120" i="9"/>
  <c r="Z136" i="9"/>
  <c r="H138" i="9"/>
  <c r="H121" i="9"/>
  <c r="L158" i="9"/>
  <c r="L142" i="9"/>
  <c r="T158" i="9"/>
  <c r="T142" i="9"/>
  <c r="AB158" i="9"/>
  <c r="AB142" i="9"/>
  <c r="I190" i="9"/>
  <c r="AA241" i="9"/>
  <c r="V222" i="9"/>
  <c r="V233" i="9"/>
  <c r="V232" i="9" s="1"/>
  <c r="P21" i="9"/>
  <c r="X21" i="9"/>
  <c r="T240" i="9"/>
  <c r="AB240" i="9"/>
  <c r="AB238" i="9" s="1"/>
  <c r="M242" i="9"/>
  <c r="U242" i="9"/>
  <c r="AC242" i="9"/>
  <c r="Q50" i="9"/>
  <c r="P88" i="9"/>
  <c r="X88" i="9"/>
  <c r="G89" i="9"/>
  <c r="O88" i="9"/>
  <c r="L94" i="9"/>
  <c r="L113" i="9"/>
  <c r="T94" i="9"/>
  <c r="T113" i="9"/>
  <c r="AB94" i="9"/>
  <c r="AB113" i="9"/>
  <c r="O209" i="9"/>
  <c r="W209" i="9"/>
  <c r="AG209" i="9"/>
  <c r="AB241" i="9"/>
  <c r="K113" i="9"/>
  <c r="S113" i="9"/>
  <c r="AA113" i="9"/>
  <c r="I114" i="9"/>
  <c r="P136" i="9"/>
  <c r="X136" i="9"/>
  <c r="O183" i="9"/>
  <c r="W183" i="9"/>
  <c r="AG183" i="9"/>
  <c r="H191" i="9"/>
  <c r="J94" i="9"/>
  <c r="R94" i="9"/>
  <c r="Z94" i="9"/>
  <c r="O120" i="9"/>
  <c r="W120" i="9"/>
  <c r="AG120" i="9"/>
  <c r="I136" i="9"/>
  <c r="Q136" i="9"/>
  <c r="Y136" i="9"/>
  <c r="I142" i="9"/>
  <c r="Q142" i="9"/>
  <c r="Y142" i="9"/>
  <c r="F164" i="9"/>
  <c r="N164" i="9"/>
  <c r="V164" i="9"/>
  <c r="AD164" i="9"/>
  <c r="H177" i="9"/>
  <c r="P183" i="9"/>
  <c r="X183" i="9"/>
  <c r="S190" i="9"/>
  <c r="AA190" i="9"/>
  <c r="I209" i="9"/>
  <c r="Q209" i="9"/>
  <c r="Y209" i="9"/>
  <c r="P72" i="9"/>
  <c r="X72" i="9"/>
  <c r="G158" i="9"/>
  <c r="O158" i="9"/>
  <c r="W158" i="9"/>
  <c r="AG158" i="9"/>
  <c r="G184" i="9"/>
  <c r="T190" i="9"/>
  <c r="AB190" i="9"/>
  <c r="S217" i="9"/>
  <c r="H90" i="9"/>
  <c r="G121" i="9"/>
  <c r="G212" i="9"/>
  <c r="G241" i="9" s="1"/>
  <c r="M88" i="9"/>
  <c r="U88" i="9"/>
  <c r="AC88" i="9"/>
  <c r="J165" i="9"/>
  <c r="X217" i="9"/>
  <c r="F243" i="9" l="1"/>
  <c r="S238" i="9"/>
  <c r="W239" i="9"/>
  <c r="I164" i="9"/>
  <c r="I94" i="9"/>
  <c r="G72" i="9"/>
  <c r="AD232" i="9"/>
  <c r="AH37" i="1"/>
  <c r="L238" i="9"/>
  <c r="G66" i="9"/>
  <c r="AH65" i="1"/>
  <c r="I113" i="9"/>
  <c r="N238" i="9"/>
  <c r="H240" i="9"/>
  <c r="T243" i="9"/>
  <c r="V239" i="9"/>
  <c r="V243" i="9" s="1"/>
  <c r="AD243" i="9"/>
  <c r="R142" i="9"/>
  <c r="R158" i="9"/>
  <c r="R239" i="9"/>
  <c r="R243" i="9" s="1"/>
  <c r="G113" i="9"/>
  <c r="G94" i="9"/>
  <c r="K243" i="9"/>
  <c r="AI26" i="1"/>
  <c r="I239" i="9"/>
  <c r="P239" i="9"/>
  <c r="P243" i="9" s="1"/>
  <c r="U243" i="9"/>
  <c r="AA243" i="9"/>
  <c r="H239" i="9"/>
  <c r="G50" i="9"/>
  <c r="L243" i="9"/>
  <c r="W238" i="9"/>
  <c r="AH26" i="1"/>
  <c r="G240" i="9"/>
  <c r="I183" i="9"/>
  <c r="J190" i="9"/>
  <c r="AC243" i="9"/>
  <c r="M241" i="9"/>
  <c r="M238" i="9" s="1"/>
  <c r="X239" i="9"/>
  <c r="X238" i="9" s="1"/>
  <c r="AK65" i="1"/>
  <c r="AG243" i="9"/>
  <c r="AG238" i="9"/>
  <c r="AC238" i="9"/>
  <c r="U238" i="9"/>
  <c r="K238" i="9"/>
  <c r="J243" i="9"/>
  <c r="Z238" i="9"/>
  <c r="AB243" i="9"/>
  <c r="J164" i="9"/>
  <c r="J183" i="9"/>
  <c r="T238" i="9"/>
  <c r="H209" i="9"/>
  <c r="H190" i="9"/>
  <c r="Q240" i="9"/>
  <c r="Q243" i="9" s="1"/>
  <c r="O238" i="9"/>
  <c r="I88" i="9"/>
  <c r="I72" i="9"/>
  <c r="I240" i="9"/>
  <c r="L209" i="9"/>
  <c r="Z243" i="9"/>
  <c r="J238" i="9"/>
  <c r="AG248" i="9"/>
  <c r="AC248" i="9"/>
  <c r="H94" i="9"/>
  <c r="H113" i="9"/>
  <c r="H66" i="9"/>
  <c r="H50" i="9"/>
  <c r="Y243" i="9"/>
  <c r="Y238" i="9"/>
  <c r="W243" i="9"/>
  <c r="G136" i="9"/>
  <c r="G120" i="9"/>
  <c r="H120" i="9"/>
  <c r="H136" i="9"/>
  <c r="H164" i="9"/>
  <c r="H183" i="9"/>
  <c r="G239" i="9"/>
  <c r="G21" i="9"/>
  <c r="H88" i="9"/>
  <c r="H72" i="9"/>
  <c r="I21" i="9"/>
  <c r="M243" i="9" l="1"/>
  <c r="R238" i="9"/>
  <c r="X243" i="9"/>
  <c r="V238" i="9"/>
  <c r="I243" i="9"/>
  <c r="H238" i="9"/>
  <c r="P238" i="9"/>
  <c r="H243" i="9"/>
  <c r="Q238" i="9"/>
  <c r="G243" i="9"/>
  <c r="G238" i="9"/>
  <c r="I238" i="9"/>
  <c r="AD11" i="1" l="1"/>
  <c r="P7" i="5" l="1"/>
  <c r="P2" i="5" s="1"/>
  <c r="B13" i="2"/>
  <c r="AE58" i="1" l="1"/>
  <c r="AE57" i="1"/>
  <c r="AE53" i="1"/>
  <c r="AE52" i="1"/>
  <c r="AE47" i="1"/>
  <c r="AE46" i="1"/>
  <c r="AE45" i="1"/>
  <c r="AE44" i="1"/>
  <c r="AE41" i="1"/>
  <c r="AE40" i="1"/>
  <c r="AE35" i="1"/>
  <c r="AE34" i="1"/>
  <c r="AE31" i="1"/>
  <c r="AE28" i="1"/>
  <c r="AE25" i="1"/>
  <c r="AE24" i="1"/>
  <c r="AE19" i="1"/>
  <c r="AE18" i="1"/>
  <c r="AE15" i="1"/>
  <c r="AE14" i="1"/>
  <c r="AE13" i="1"/>
  <c r="AE9" i="1"/>
  <c r="AE8" i="1"/>
  <c r="AE7" i="1"/>
  <c r="AE51" i="1"/>
  <c r="AE50" i="1"/>
  <c r="AE39" i="1"/>
  <c r="AE36" i="1"/>
  <c r="AE30" i="1"/>
  <c r="AE29" i="1"/>
  <c r="AE23" i="1"/>
  <c r="AE20" i="1"/>
  <c r="AE10" i="1"/>
  <c r="AE32" i="1" l="1"/>
  <c r="AE26" i="1"/>
  <c r="AE61" i="1"/>
  <c r="AE21" i="1"/>
  <c r="AE42" i="1"/>
  <c r="AE37" i="1"/>
  <c r="AE64" i="1"/>
  <c r="AE54" i="1"/>
  <c r="AE62" i="1"/>
  <c r="AE48" i="1"/>
  <c r="AE16" i="1"/>
  <c r="AE63" i="1"/>
  <c r="AE56" i="1"/>
  <c r="AE59" i="1" s="1"/>
  <c r="AE11" i="1"/>
  <c r="G7" i="7"/>
  <c r="G12" i="7"/>
  <c r="E17" i="7"/>
  <c r="G17" i="7"/>
  <c r="G23" i="7"/>
  <c r="G28" i="7"/>
  <c r="G34" i="7"/>
  <c r="G40" i="7"/>
  <c r="G45" i="7"/>
  <c r="G51" i="7"/>
  <c r="E51" i="7"/>
  <c r="E40" i="7"/>
  <c r="E34" i="7"/>
  <c r="E23" i="7"/>
  <c r="E12" i="7"/>
  <c r="E7" i="7"/>
  <c r="G49" i="7"/>
  <c r="G44" i="7"/>
  <c r="G38" i="7"/>
  <c r="G32" i="7"/>
  <c r="G27" i="7"/>
  <c r="G21" i="7"/>
  <c r="G16" i="7"/>
  <c r="G11" i="7"/>
  <c r="G5" i="7"/>
  <c r="E49" i="7"/>
  <c r="E44" i="7"/>
  <c r="E38" i="7"/>
  <c r="E32" i="7"/>
  <c r="E27" i="7"/>
  <c r="E21" i="7"/>
  <c r="E16" i="7"/>
  <c r="E11" i="7"/>
  <c r="E5" i="7"/>
  <c r="AE65" i="1" l="1"/>
  <c r="L7" i="5"/>
  <c r="C12" i="2"/>
  <c r="C10" i="2" l="1"/>
  <c r="C13" i="2"/>
  <c r="AD50" i="1" l="1"/>
  <c r="AD54" i="1" s="1"/>
  <c r="AD35" i="1"/>
  <c r="AD25" i="1"/>
  <c r="AD24" i="1"/>
  <c r="AD64" i="1"/>
  <c r="AD63" i="1"/>
  <c r="AD62" i="1"/>
  <c r="AD61" i="1"/>
  <c r="AD59" i="1"/>
  <c r="AD48" i="1"/>
  <c r="AD42" i="1"/>
  <c r="AD36" i="1"/>
  <c r="AD32" i="1"/>
  <c r="AD23" i="1"/>
  <c r="AD21" i="1"/>
  <c r="AD16" i="1"/>
  <c r="AD65" i="1" l="1"/>
  <c r="AD26" i="1"/>
  <c r="AD34" i="1"/>
  <c r="AD37" i="1" s="1"/>
  <c r="C6" i="2" l="1"/>
  <c r="C7" i="2"/>
  <c r="C8" i="2"/>
  <c r="C9" i="2"/>
  <c r="C11" i="2"/>
  <c r="C5" i="2"/>
  <c r="M7" i="5" l="1"/>
  <c r="AC58" i="1" l="1"/>
  <c r="AC57" i="1"/>
  <c r="AC53" i="1"/>
  <c r="AC52" i="1"/>
  <c r="AC51" i="1"/>
  <c r="AC47" i="1"/>
  <c r="AC46" i="1"/>
  <c r="AC45" i="1"/>
  <c r="AC44" i="1"/>
  <c r="AC41" i="1"/>
  <c r="AC40" i="1"/>
  <c r="AC39" i="1"/>
  <c r="AC36" i="1"/>
  <c r="AC34" i="1"/>
  <c r="AC31" i="1"/>
  <c r="AC29" i="1"/>
  <c r="AC28" i="1"/>
  <c r="AC25" i="1"/>
  <c r="AC24" i="1"/>
  <c r="AC20" i="1"/>
  <c r="AC19" i="1"/>
  <c r="AC18" i="1"/>
  <c r="AC13" i="1"/>
  <c r="AC10" i="1"/>
  <c r="AC9" i="1"/>
  <c r="AC7" i="1"/>
  <c r="AC50" i="1"/>
  <c r="AC35" i="1"/>
  <c r="AC30" i="1"/>
  <c r="AC23" i="1"/>
  <c r="AC15" i="1"/>
  <c r="AC14" i="1"/>
  <c r="AC16" i="1" l="1"/>
  <c r="AC42" i="1"/>
  <c r="AC37" i="1"/>
  <c r="AC62" i="1"/>
  <c r="AC21" i="1"/>
  <c r="AC63" i="1"/>
  <c r="AC26" i="1"/>
  <c r="AC8" i="1"/>
  <c r="AC48" i="1"/>
  <c r="AC54" i="1"/>
  <c r="AC32" i="1"/>
  <c r="AC64" i="1"/>
  <c r="AC11" i="1"/>
  <c r="C7" i="5"/>
  <c r="D7" i="5"/>
  <c r="E7" i="5"/>
  <c r="F7" i="5"/>
  <c r="G7" i="5"/>
  <c r="H7" i="5"/>
  <c r="I7" i="5"/>
  <c r="J7" i="5"/>
  <c r="K7" i="5"/>
  <c r="AB58" i="1"/>
  <c r="AB57" i="1"/>
  <c r="AB56" i="1"/>
  <c r="AB53" i="1"/>
  <c r="AB51" i="1"/>
  <c r="AB50" i="1"/>
  <c r="AB46" i="1"/>
  <c r="AB44" i="1"/>
  <c r="AB41" i="1"/>
  <c r="AB39" i="1"/>
  <c r="AB36" i="1"/>
  <c r="AB35" i="1"/>
  <c r="AB34" i="1"/>
  <c r="AB31" i="1"/>
  <c r="AB30" i="1"/>
  <c r="AB29" i="1"/>
  <c r="AB28" i="1"/>
  <c r="AB25" i="1"/>
  <c r="AB24" i="1"/>
  <c r="AB23" i="1"/>
  <c r="AB20" i="1"/>
  <c r="AB19" i="1"/>
  <c r="AB18" i="1"/>
  <c r="AB15" i="1"/>
  <c r="AB14" i="1"/>
  <c r="AB13" i="1"/>
  <c r="AB10" i="1"/>
  <c r="AB9" i="1"/>
  <c r="AB8" i="1"/>
  <c r="AB7" i="1"/>
  <c r="AB47" i="1"/>
  <c r="AB45" i="1"/>
  <c r="AB40" i="1"/>
  <c r="Z58" i="1"/>
  <c r="Z56" i="1"/>
  <c r="Z53" i="1"/>
  <c r="Z52" i="1"/>
  <c r="Z51" i="1"/>
  <c r="Z50" i="1"/>
  <c r="Z47" i="1"/>
  <c r="Z45" i="1"/>
  <c r="Z44" i="1"/>
  <c r="Z41" i="1"/>
  <c r="Z40" i="1"/>
  <c r="Z39" i="1"/>
  <c r="Z36" i="1"/>
  <c r="Z35" i="1"/>
  <c r="Z34" i="1"/>
  <c r="Z31" i="1"/>
  <c r="Z29" i="1"/>
  <c r="Z25" i="1"/>
  <c r="Z24" i="1"/>
  <c r="Z23" i="1"/>
  <c r="Z20" i="1"/>
  <c r="Z19" i="1"/>
  <c r="Z18" i="1"/>
  <c r="Z15" i="1"/>
  <c r="Z14" i="1"/>
  <c r="Z13" i="1"/>
  <c r="Z10" i="1"/>
  <c r="Z8" i="1"/>
  <c r="Z57" i="1"/>
  <c r="Y57" i="1"/>
  <c r="Y53" i="1"/>
  <c r="Y51" i="1"/>
  <c r="Y50" i="1"/>
  <c r="Y47" i="1"/>
  <c r="Y45" i="1"/>
  <c r="Y44" i="1"/>
  <c r="Y41" i="1"/>
  <c r="Y40" i="1"/>
  <c r="Y39" i="1"/>
  <c r="Y36" i="1"/>
  <c r="Y35" i="1"/>
  <c r="Y34" i="1"/>
  <c r="Y31" i="1"/>
  <c r="Y29" i="1"/>
  <c r="Y28" i="1"/>
  <c r="Y25" i="1"/>
  <c r="Y24" i="1"/>
  <c r="Y23" i="1"/>
  <c r="Y20" i="1"/>
  <c r="Y19" i="1"/>
  <c r="Y18" i="1"/>
  <c r="Y15" i="1"/>
  <c r="Y14" i="1"/>
  <c r="Y13" i="1"/>
  <c r="Y10" i="1"/>
  <c r="Y8" i="1"/>
  <c r="X58" i="1"/>
  <c r="X57" i="1"/>
  <c r="X53" i="1"/>
  <c r="X63" i="1"/>
  <c r="X51" i="1"/>
  <c r="X50" i="1"/>
  <c r="X47" i="1"/>
  <c r="X45" i="1"/>
  <c r="X44" i="1"/>
  <c r="X41" i="1"/>
  <c r="X40" i="1"/>
  <c r="X39" i="1"/>
  <c r="X36" i="1"/>
  <c r="X35" i="1"/>
  <c r="X34" i="1"/>
  <c r="X31" i="1"/>
  <c r="X29" i="1"/>
  <c r="X28" i="1"/>
  <c r="X25" i="1"/>
  <c r="X24" i="1"/>
  <c r="X23" i="1"/>
  <c r="X20" i="1"/>
  <c r="X19" i="1"/>
  <c r="X18" i="1"/>
  <c r="X15" i="1"/>
  <c r="X14" i="1"/>
  <c r="X13" i="1"/>
  <c r="X10" i="1"/>
  <c r="X8" i="1"/>
  <c r="X7" i="1"/>
  <c r="W58" i="1"/>
  <c r="W57" i="1"/>
  <c r="W53" i="1"/>
  <c r="W51" i="1"/>
  <c r="W50" i="1"/>
  <c r="W47" i="1"/>
  <c r="W45" i="1"/>
  <c r="W44" i="1"/>
  <c r="W41" i="1"/>
  <c r="W40" i="1"/>
  <c r="W39" i="1"/>
  <c r="W36" i="1"/>
  <c r="W35" i="1"/>
  <c r="W34" i="1"/>
  <c r="W31" i="1"/>
  <c r="W29" i="1"/>
  <c r="W28" i="1"/>
  <c r="W25" i="1"/>
  <c r="W24" i="1"/>
  <c r="W23" i="1"/>
  <c r="W20" i="1"/>
  <c r="W18" i="1"/>
  <c r="W15" i="1"/>
  <c r="W14" i="1"/>
  <c r="W13" i="1"/>
  <c r="W16" i="1"/>
  <c r="W10" i="1"/>
  <c r="W8" i="1"/>
  <c r="V58" i="1"/>
  <c r="V53" i="1"/>
  <c r="V63" i="1"/>
  <c r="V51" i="1"/>
  <c r="V50" i="1"/>
  <c r="V47" i="1"/>
  <c r="V45" i="1"/>
  <c r="V44" i="1"/>
  <c r="V41" i="1"/>
  <c r="V40" i="1"/>
  <c r="V39" i="1"/>
  <c r="V36" i="1"/>
  <c r="V35" i="1"/>
  <c r="V31" i="1"/>
  <c r="V29" i="1"/>
  <c r="V28" i="1"/>
  <c r="V25" i="1"/>
  <c r="V24" i="1"/>
  <c r="V23" i="1"/>
  <c r="V20" i="1"/>
  <c r="V19" i="1"/>
  <c r="V18" i="1"/>
  <c r="V15" i="1"/>
  <c r="V14" i="1"/>
  <c r="V13" i="1"/>
  <c r="V10" i="1"/>
  <c r="U58" i="1"/>
  <c r="U57" i="1"/>
  <c r="U53" i="1"/>
  <c r="U52" i="1"/>
  <c r="U51" i="1"/>
  <c r="U50" i="1"/>
  <c r="U47" i="1"/>
  <c r="U44" i="1"/>
  <c r="U41" i="1"/>
  <c r="U40" i="1"/>
  <c r="U39" i="1"/>
  <c r="U36" i="1"/>
  <c r="U35" i="1"/>
  <c r="U34" i="1"/>
  <c r="U31" i="1"/>
  <c r="U29" i="1"/>
  <c r="U28" i="1"/>
  <c r="U24" i="1"/>
  <c r="U23" i="1"/>
  <c r="U20" i="1"/>
  <c r="U19" i="1"/>
  <c r="U18" i="1"/>
  <c r="U15" i="1"/>
  <c r="U14" i="1"/>
  <c r="U13" i="1"/>
  <c r="U10" i="1"/>
  <c r="U8" i="1"/>
  <c r="T7" i="1"/>
  <c r="T13" i="1"/>
  <c r="T18" i="1"/>
  <c r="T23" i="1"/>
  <c r="T28" i="1"/>
  <c r="T34" i="1"/>
  <c r="T44" i="1"/>
  <c r="T50" i="1"/>
  <c r="T39" i="1"/>
  <c r="T8" i="1"/>
  <c r="T14" i="1"/>
  <c r="T19" i="1"/>
  <c r="T24" i="1"/>
  <c r="T29" i="1"/>
  <c r="T35" i="1"/>
  <c r="T45" i="1"/>
  <c r="T51" i="1"/>
  <c r="T57" i="1"/>
  <c r="T40" i="1"/>
  <c r="T15" i="1"/>
  <c r="T20" i="1"/>
  <c r="T25" i="1"/>
  <c r="T31" i="1"/>
  <c r="T36" i="1"/>
  <c r="T47" i="1"/>
  <c r="T53" i="1"/>
  <c r="T58" i="1"/>
  <c r="T41" i="1"/>
  <c r="S13" i="1"/>
  <c r="S18" i="1"/>
  <c r="S23" i="1"/>
  <c r="S28" i="1"/>
  <c r="S34" i="1"/>
  <c r="S44" i="1"/>
  <c r="S50" i="1"/>
  <c r="S39" i="1"/>
  <c r="S8" i="1"/>
  <c r="S14" i="1"/>
  <c r="S19" i="1"/>
  <c r="S24" i="1"/>
  <c r="S29" i="1"/>
  <c r="S35" i="1"/>
  <c r="S45" i="1"/>
  <c r="S51" i="1"/>
  <c r="S57" i="1"/>
  <c r="S40" i="1"/>
  <c r="S63" i="1"/>
  <c r="S10" i="1"/>
  <c r="S15" i="1"/>
  <c r="S20" i="1"/>
  <c r="S25" i="1"/>
  <c r="S31" i="1"/>
  <c r="S36" i="1"/>
  <c r="S47" i="1"/>
  <c r="S53" i="1"/>
  <c r="S58" i="1"/>
  <c r="S41" i="1"/>
  <c r="R44" i="1"/>
  <c r="R7" i="1"/>
  <c r="R13" i="1"/>
  <c r="R18" i="1"/>
  <c r="R23" i="1"/>
  <c r="R28" i="1"/>
  <c r="R34" i="1"/>
  <c r="R50" i="1"/>
  <c r="R39" i="1"/>
  <c r="R8" i="1"/>
  <c r="R45" i="1"/>
  <c r="R57" i="1"/>
  <c r="R14" i="1"/>
  <c r="R19" i="1"/>
  <c r="R24" i="1"/>
  <c r="R29" i="1"/>
  <c r="R35" i="1"/>
  <c r="R51" i="1"/>
  <c r="R10" i="1"/>
  <c r="R15" i="1"/>
  <c r="R25" i="1"/>
  <c r="R31" i="1"/>
  <c r="R36" i="1"/>
  <c r="R47" i="1"/>
  <c r="R53" i="1"/>
  <c r="R58" i="1"/>
  <c r="R41" i="1"/>
  <c r="R63" i="1"/>
  <c r="Q13" i="1"/>
  <c r="Q18" i="1"/>
  <c r="Q23" i="1"/>
  <c r="Q28" i="1"/>
  <c r="Q34" i="1"/>
  <c r="Q44" i="1"/>
  <c r="Q50" i="1"/>
  <c r="Q8" i="1"/>
  <c r="Q19" i="1"/>
  <c r="Q24" i="1"/>
  <c r="Q29" i="1"/>
  <c r="Q35" i="1"/>
  <c r="Q45" i="1"/>
  <c r="Q51" i="1"/>
  <c r="Q63" i="1"/>
  <c r="Q10" i="1"/>
  <c r="Q15" i="1"/>
  <c r="Q20" i="1"/>
  <c r="Q25" i="1"/>
  <c r="Q31" i="1"/>
  <c r="Q36" i="1"/>
  <c r="Q47" i="1"/>
  <c r="Q53" i="1"/>
  <c r="P56" i="1"/>
  <c r="P7" i="1"/>
  <c r="P13" i="1"/>
  <c r="P18" i="1"/>
  <c r="P23" i="1"/>
  <c r="P28" i="1"/>
  <c r="P34" i="1"/>
  <c r="P44" i="1"/>
  <c r="P50" i="1"/>
  <c r="P14" i="1"/>
  <c r="P19" i="1"/>
  <c r="P24" i="1"/>
  <c r="P29" i="1"/>
  <c r="P35" i="1"/>
  <c r="P45" i="1"/>
  <c r="P51" i="1"/>
  <c r="P10" i="1"/>
  <c r="P15" i="1"/>
  <c r="P20" i="1"/>
  <c r="P25" i="1"/>
  <c r="P31" i="1"/>
  <c r="P36" i="1"/>
  <c r="P47" i="1"/>
  <c r="P53" i="1"/>
  <c r="O50" i="1"/>
  <c r="O51" i="1"/>
  <c r="O63" i="1"/>
  <c r="O53" i="1"/>
  <c r="O10" i="1"/>
  <c r="O15" i="1"/>
  <c r="O20" i="1"/>
  <c r="O25" i="1"/>
  <c r="O31" i="1"/>
  <c r="O36" i="1"/>
  <c r="O47" i="1"/>
  <c r="O58" i="1"/>
  <c r="O8" i="1"/>
  <c r="O14" i="1"/>
  <c r="O19" i="1"/>
  <c r="O29" i="1"/>
  <c r="O35" i="1"/>
  <c r="O45" i="1"/>
  <c r="O7" i="1"/>
  <c r="O13" i="1"/>
  <c r="O18" i="1"/>
  <c r="O23" i="1"/>
  <c r="O28" i="1"/>
  <c r="O34" i="1"/>
  <c r="O44" i="1"/>
  <c r="K50" i="1"/>
  <c r="K13" i="1"/>
  <c r="K18" i="1"/>
  <c r="K23" i="1"/>
  <c r="K28" i="1"/>
  <c r="K34" i="1"/>
  <c r="K44" i="1"/>
  <c r="K51" i="1"/>
  <c r="K8" i="1"/>
  <c r="K14" i="1"/>
  <c r="K24" i="1"/>
  <c r="K29" i="1"/>
  <c r="K35" i="1"/>
  <c r="K45" i="1"/>
  <c r="K10" i="1"/>
  <c r="K15" i="1"/>
  <c r="K20" i="1"/>
  <c r="K25" i="1"/>
  <c r="K31" i="1"/>
  <c r="K36" i="1"/>
  <c r="K47" i="1"/>
  <c r="L13" i="1"/>
  <c r="L18" i="1"/>
  <c r="L23" i="1"/>
  <c r="L28" i="1"/>
  <c r="L34" i="1"/>
  <c r="L44" i="1"/>
  <c r="L51" i="1"/>
  <c r="L14" i="1"/>
  <c r="L19" i="1"/>
  <c r="L24" i="1"/>
  <c r="L29" i="1"/>
  <c r="L35" i="1"/>
  <c r="L45" i="1"/>
  <c r="L57" i="1"/>
  <c r="L15" i="1"/>
  <c r="L20" i="1"/>
  <c r="L25" i="1"/>
  <c r="L31" i="1"/>
  <c r="L36" i="1"/>
  <c r="L47" i="1"/>
  <c r="L53" i="1"/>
  <c r="L58" i="1"/>
  <c r="M7" i="1"/>
  <c r="M13" i="1"/>
  <c r="M18" i="1"/>
  <c r="M23" i="1"/>
  <c r="M28" i="1"/>
  <c r="M34" i="1"/>
  <c r="M44" i="1"/>
  <c r="M50" i="1"/>
  <c r="M14" i="1"/>
  <c r="M19" i="1"/>
  <c r="M24" i="1"/>
  <c r="M29" i="1"/>
  <c r="M35" i="1"/>
  <c r="M45" i="1"/>
  <c r="M51" i="1"/>
  <c r="M57" i="1"/>
  <c r="M10" i="1"/>
  <c r="M15" i="1"/>
  <c r="M20" i="1"/>
  <c r="M25" i="1"/>
  <c r="M31" i="1"/>
  <c r="M36" i="1"/>
  <c r="M47" i="1"/>
  <c r="M53" i="1"/>
  <c r="M58" i="1"/>
  <c r="N8" i="1"/>
  <c r="N14" i="1"/>
  <c r="N24" i="1"/>
  <c r="N29" i="1"/>
  <c r="N35" i="1"/>
  <c r="N45" i="1"/>
  <c r="N51" i="1"/>
  <c r="N13" i="1"/>
  <c r="N18" i="1"/>
  <c r="N23" i="1"/>
  <c r="N34" i="1"/>
  <c r="N44" i="1"/>
  <c r="N50" i="1"/>
  <c r="N15" i="1"/>
  <c r="N20" i="1"/>
  <c r="N25" i="1"/>
  <c r="N31" i="1"/>
  <c r="N36" i="1"/>
  <c r="N47" i="1"/>
  <c r="N53" i="1"/>
  <c r="N56" i="1"/>
  <c r="N57" i="1"/>
  <c r="N58" i="1"/>
  <c r="G56" i="1"/>
  <c r="H56" i="1"/>
  <c r="I56" i="1"/>
  <c r="J56" i="1"/>
  <c r="K56" i="1"/>
  <c r="G57" i="1"/>
  <c r="H57" i="1"/>
  <c r="I57" i="1"/>
  <c r="J57" i="1"/>
  <c r="K57" i="1"/>
  <c r="G58" i="1"/>
  <c r="H58" i="1"/>
  <c r="J58" i="1"/>
  <c r="K58" i="1"/>
  <c r="F58" i="1"/>
  <c r="F57" i="1"/>
  <c r="F56" i="1"/>
  <c r="E13" i="1"/>
  <c r="E23" i="1"/>
  <c r="E44" i="1"/>
  <c r="E8" i="1"/>
  <c r="E11" i="1" s="1"/>
  <c r="E14" i="1"/>
  <c r="E24" i="1"/>
  <c r="E29" i="1"/>
  <c r="E32" i="1" s="1"/>
  <c r="E35" i="1"/>
  <c r="E37" i="1"/>
  <c r="E45" i="1"/>
  <c r="E52" i="1"/>
  <c r="E63" i="1" s="1"/>
  <c r="E64" i="1"/>
  <c r="D64" i="1"/>
  <c r="D62" i="1"/>
  <c r="D61" i="1"/>
  <c r="H13" i="1"/>
  <c r="H18" i="1"/>
  <c r="H34" i="1"/>
  <c r="I13" i="1"/>
  <c r="I18" i="1"/>
  <c r="I34" i="1"/>
  <c r="J13" i="1"/>
  <c r="J18" i="1"/>
  <c r="J23" i="1"/>
  <c r="J34" i="1"/>
  <c r="J44" i="1"/>
  <c r="H29" i="1"/>
  <c r="G10" i="1"/>
  <c r="G15" i="1"/>
  <c r="G20" i="1"/>
  <c r="G31" i="1"/>
  <c r="G36" i="1"/>
  <c r="G47" i="1"/>
  <c r="G53" i="1"/>
  <c r="H10" i="1"/>
  <c r="H15" i="1"/>
  <c r="H20" i="1"/>
  <c r="H25" i="1"/>
  <c r="H31" i="1"/>
  <c r="H36" i="1"/>
  <c r="H47" i="1"/>
  <c r="H53" i="1"/>
  <c r="I15" i="1"/>
  <c r="I20" i="1"/>
  <c r="I25" i="1"/>
  <c r="I31" i="1"/>
  <c r="I36" i="1"/>
  <c r="I47" i="1"/>
  <c r="I53" i="1"/>
  <c r="J15" i="1"/>
  <c r="J25" i="1"/>
  <c r="J31" i="1"/>
  <c r="J36" i="1"/>
  <c r="J47" i="1"/>
  <c r="J53" i="1"/>
  <c r="F10" i="1"/>
  <c r="F15" i="1"/>
  <c r="F20" i="1"/>
  <c r="F31" i="1"/>
  <c r="F36" i="1"/>
  <c r="F47" i="1"/>
  <c r="F53" i="1"/>
  <c r="F8" i="1"/>
  <c r="F14" i="1"/>
  <c r="F19" i="1"/>
  <c r="F24" i="1"/>
  <c r="F29" i="1"/>
  <c r="F35" i="1"/>
  <c r="F45" i="1"/>
  <c r="F13" i="1"/>
  <c r="F18" i="1"/>
  <c r="F23" i="1"/>
  <c r="F28" i="1"/>
  <c r="F34" i="1"/>
  <c r="F44" i="1"/>
  <c r="E59" i="1"/>
  <c r="D59" i="1"/>
  <c r="F63" i="1"/>
  <c r="D52" i="1"/>
  <c r="D48" i="1"/>
  <c r="D37" i="1"/>
  <c r="D32" i="1"/>
  <c r="D26" i="1"/>
  <c r="D21" i="1"/>
  <c r="E21" i="1"/>
  <c r="D11" i="1"/>
  <c r="D16" i="1"/>
  <c r="I58" i="1"/>
  <c r="X56" i="1"/>
  <c r="K52" i="1"/>
  <c r="O52" i="1"/>
  <c r="Q52" i="1"/>
  <c r="P52" i="1"/>
  <c r="P63" i="1"/>
  <c r="X16" i="1"/>
  <c r="I19" i="1"/>
  <c r="U63" i="1"/>
  <c r="X52" i="1"/>
  <c r="Y58" i="1"/>
  <c r="G13" i="1"/>
  <c r="G28" i="1"/>
  <c r="V7" i="1"/>
  <c r="N7" i="1"/>
  <c r="O57" i="1"/>
  <c r="W19" i="1"/>
  <c r="K7" i="1"/>
  <c r="J10" i="1"/>
  <c r="U7" i="1"/>
  <c r="I10" i="1"/>
  <c r="V8" i="1"/>
  <c r="Z7" i="1"/>
  <c r="L7" i="1"/>
  <c r="Z11" i="1"/>
  <c r="Z63" i="1"/>
  <c r="AB52" i="1"/>
  <c r="E48" i="1" l="1"/>
  <c r="E54" i="1"/>
  <c r="J59" i="1"/>
  <c r="X21" i="1"/>
  <c r="T37" i="1"/>
  <c r="Z26" i="1"/>
  <c r="P54" i="1"/>
  <c r="W26" i="1"/>
  <c r="H45" i="1"/>
  <c r="R40" i="1"/>
  <c r="R42" i="1" s="1"/>
  <c r="O11" i="1"/>
  <c r="Z42" i="1"/>
  <c r="R32" i="1"/>
  <c r="T26" i="1"/>
  <c r="G7" i="1"/>
  <c r="H59" i="1"/>
  <c r="L21" i="1"/>
  <c r="R52" i="1"/>
  <c r="R54" i="1" s="1"/>
  <c r="S56" i="1"/>
  <c r="S59" i="1" s="1"/>
  <c r="H28" i="1"/>
  <c r="H32" i="1" s="1"/>
  <c r="J35" i="1"/>
  <c r="J37" i="1" s="1"/>
  <c r="M32" i="1"/>
  <c r="S16" i="1"/>
  <c r="W37" i="1"/>
  <c r="F21" i="1"/>
  <c r="Z21" i="1"/>
  <c r="L61" i="1"/>
  <c r="W32" i="1"/>
  <c r="J19" i="1"/>
  <c r="G24" i="1"/>
  <c r="Q56" i="1"/>
  <c r="M11" i="1"/>
  <c r="Z54" i="1"/>
  <c r="M61" i="1"/>
  <c r="Z62" i="1"/>
  <c r="T62" i="1"/>
  <c r="Q32" i="1"/>
  <c r="S52" i="1"/>
  <c r="S54" i="1" s="1"/>
  <c r="R16" i="1"/>
  <c r="R26" i="1"/>
  <c r="K61" i="1"/>
  <c r="F59" i="1"/>
  <c r="L48" i="1"/>
  <c r="L37" i="1"/>
  <c r="T11" i="1"/>
  <c r="I21" i="1"/>
  <c r="M21" i="1"/>
  <c r="R48" i="1"/>
  <c r="X61" i="1"/>
  <c r="H64" i="1"/>
  <c r="G45" i="1"/>
  <c r="E16" i="1"/>
  <c r="O37" i="1"/>
  <c r="R37" i="1"/>
  <c r="Z48" i="1"/>
  <c r="M64" i="1"/>
  <c r="R62" i="1"/>
  <c r="J24" i="1"/>
  <c r="J26" i="1" s="1"/>
  <c r="O32" i="1"/>
  <c r="X42" i="1"/>
  <c r="O61" i="1"/>
  <c r="N59" i="1"/>
  <c r="K26" i="1"/>
  <c r="X11" i="1"/>
  <c r="V42" i="1"/>
  <c r="F37" i="1"/>
  <c r="F52" i="1"/>
  <c r="F54" i="1" s="1"/>
  <c r="N37" i="1"/>
  <c r="O48" i="1"/>
  <c r="Q16" i="1"/>
  <c r="S32" i="1"/>
  <c r="S21" i="1"/>
  <c r="V21" i="1"/>
  <c r="J29" i="1"/>
  <c r="G44" i="1"/>
  <c r="G48" i="1" s="1"/>
  <c r="E61" i="1"/>
  <c r="U37" i="1"/>
  <c r="V48" i="1"/>
  <c r="Y21" i="1"/>
  <c r="AB48" i="1"/>
  <c r="X48" i="1"/>
  <c r="AB26" i="1"/>
  <c r="L32" i="1"/>
  <c r="O21" i="1"/>
  <c r="Q54" i="1"/>
  <c r="Q37" i="1"/>
  <c r="Y48" i="1"/>
  <c r="I14" i="1"/>
  <c r="L26" i="1"/>
  <c r="V56" i="1"/>
  <c r="AB63" i="1"/>
  <c r="S37" i="1"/>
  <c r="T16" i="1"/>
  <c r="T42" i="1"/>
  <c r="X32" i="1"/>
  <c r="Y16" i="1"/>
  <c r="Y42" i="1"/>
  <c r="AB16" i="1"/>
  <c r="K16" i="1"/>
  <c r="L16" i="1"/>
  <c r="H24" i="1"/>
  <c r="O16" i="1"/>
  <c r="W21" i="1"/>
  <c r="W42" i="1"/>
  <c r="X26" i="1"/>
  <c r="AB42" i="1"/>
  <c r="D54" i="1"/>
  <c r="D63" i="1"/>
  <c r="D65" i="1" s="1"/>
  <c r="N19" i="1"/>
  <c r="N21" i="1" s="1"/>
  <c r="N62" i="1"/>
  <c r="O24" i="1"/>
  <c r="O26" i="1" s="1"/>
  <c r="O62" i="1"/>
  <c r="P58" i="1"/>
  <c r="S61" i="1"/>
  <c r="Z61" i="1"/>
  <c r="Z28" i="1"/>
  <c r="Z32" i="1" s="1"/>
  <c r="F64" i="1"/>
  <c r="F25" i="1"/>
  <c r="F26" i="1" s="1"/>
  <c r="I64" i="1"/>
  <c r="G64" i="1"/>
  <c r="G25" i="1"/>
  <c r="L8" i="1"/>
  <c r="L62" i="1"/>
  <c r="J52" i="1"/>
  <c r="J54" i="1" s="1"/>
  <c r="J63" i="1"/>
  <c r="H35" i="1"/>
  <c r="H37" i="1" s="1"/>
  <c r="G18" i="1"/>
  <c r="L56" i="1"/>
  <c r="L59" i="1" s="1"/>
  <c r="O56" i="1"/>
  <c r="O59" i="1" s="1"/>
  <c r="O54" i="1"/>
  <c r="P57" i="1"/>
  <c r="P21" i="1"/>
  <c r="Q57" i="1"/>
  <c r="N28" i="1"/>
  <c r="N32" i="1" s="1"/>
  <c r="M56" i="1"/>
  <c r="M59" i="1" s="1"/>
  <c r="L50" i="1"/>
  <c r="U64" i="1"/>
  <c r="Y52" i="1"/>
  <c r="Y54" i="1" s="1"/>
  <c r="Y63" i="1"/>
  <c r="F11" i="1"/>
  <c r="F61" i="1"/>
  <c r="J64" i="1"/>
  <c r="J20" i="1"/>
  <c r="I8" i="1"/>
  <c r="N64" i="1"/>
  <c r="N10" i="1"/>
  <c r="K53" i="1"/>
  <c r="K54" i="1" s="1"/>
  <c r="U45" i="1"/>
  <c r="U48" i="1" s="1"/>
  <c r="U62" i="1"/>
  <c r="Q58" i="1"/>
  <c r="J45" i="1"/>
  <c r="J48" i="1" s="1"/>
  <c r="G16" i="1"/>
  <c r="G14" i="1"/>
  <c r="M48" i="1"/>
  <c r="P37" i="1"/>
  <c r="Q48" i="1"/>
  <c r="S42" i="1"/>
  <c r="T21" i="1"/>
  <c r="X64" i="1"/>
  <c r="I44" i="1"/>
  <c r="N63" i="1"/>
  <c r="N52" i="1"/>
  <c r="N54" i="1" s="1"/>
  <c r="V57" i="1"/>
  <c r="J8" i="1"/>
  <c r="G35" i="1"/>
  <c r="P48" i="1"/>
  <c r="Q64" i="1"/>
  <c r="S48" i="1"/>
  <c r="W48" i="1"/>
  <c r="X37" i="1"/>
  <c r="N48" i="1"/>
  <c r="F32" i="1"/>
  <c r="H8" i="1"/>
  <c r="K59" i="1"/>
  <c r="M26" i="1"/>
  <c r="K11" i="1"/>
  <c r="T48" i="1"/>
  <c r="U54" i="1"/>
  <c r="V16" i="1"/>
  <c r="W62" i="1"/>
  <c r="AB37" i="1"/>
  <c r="AB59" i="1"/>
  <c r="P26" i="1"/>
  <c r="N16" i="1"/>
  <c r="I29" i="1"/>
  <c r="I16" i="1"/>
  <c r="E62" i="1"/>
  <c r="M52" i="1"/>
  <c r="M54" i="1" s="1"/>
  <c r="S26" i="1"/>
  <c r="U42" i="1"/>
  <c r="V32" i="1"/>
  <c r="V64" i="1"/>
  <c r="AB54" i="1"/>
  <c r="W61" i="1"/>
  <c r="H19" i="1"/>
  <c r="H21" i="1" s="1"/>
  <c r="G59" i="1"/>
  <c r="I59" i="1"/>
  <c r="T32" i="1"/>
  <c r="AB32" i="1"/>
  <c r="G29" i="1"/>
  <c r="G32" i="1" s="1"/>
  <c r="N26" i="1"/>
  <c r="K48" i="1"/>
  <c r="Q21" i="1"/>
  <c r="S64" i="1"/>
  <c r="U16" i="1"/>
  <c r="Y26" i="1"/>
  <c r="Y32" i="1"/>
  <c r="Y37" i="1"/>
  <c r="Z16" i="1"/>
  <c r="M16" i="1"/>
  <c r="I24" i="1"/>
  <c r="G34" i="1"/>
  <c r="G23" i="1"/>
  <c r="Q26" i="1"/>
  <c r="U32" i="1"/>
  <c r="V26" i="1"/>
  <c r="Y64" i="1"/>
  <c r="Y62" i="1"/>
  <c r="Y61" i="1"/>
  <c r="AB11" i="1"/>
  <c r="I45" i="1"/>
  <c r="L10" i="1"/>
  <c r="L11" i="1"/>
  <c r="W63" i="1"/>
  <c r="W52" i="1"/>
  <c r="W54" i="1" s="1"/>
  <c r="W64" i="1"/>
  <c r="Q14" i="1"/>
  <c r="Q62" i="1"/>
  <c r="AB62" i="1"/>
  <c r="AB64" i="1"/>
  <c r="X54" i="1"/>
  <c r="F62" i="1"/>
  <c r="F16" i="1"/>
  <c r="F48" i="1"/>
  <c r="R20" i="1"/>
  <c r="R21" i="1" s="1"/>
  <c r="R64" i="1"/>
  <c r="V11" i="1"/>
  <c r="K64" i="1"/>
  <c r="V62" i="1"/>
  <c r="J11" i="1"/>
  <c r="Z64" i="1"/>
  <c r="J7" i="1"/>
  <c r="R11" i="1"/>
  <c r="I35" i="1"/>
  <c r="I37" i="1" s="1"/>
  <c r="H63" i="1"/>
  <c r="H52" i="1"/>
  <c r="H54" i="1" s="1"/>
  <c r="P32" i="1"/>
  <c r="Q11" i="1"/>
  <c r="Q7" i="1"/>
  <c r="U21" i="1"/>
  <c r="U25" i="1"/>
  <c r="U26" i="1" s="1"/>
  <c r="W11" i="1"/>
  <c r="W7" i="1"/>
  <c r="Y56" i="1"/>
  <c r="Y59" i="1" s="1"/>
  <c r="W56" i="1"/>
  <c r="W59" i="1" s="1"/>
  <c r="R56" i="1"/>
  <c r="R59" i="1" s="1"/>
  <c r="E26" i="1"/>
  <c r="M37" i="1"/>
  <c r="U11" i="1"/>
  <c r="T64" i="1"/>
  <c r="T10" i="1"/>
  <c r="N11" i="1"/>
  <c r="V52" i="1"/>
  <c r="V54" i="1" s="1"/>
  <c r="H44" i="1"/>
  <c r="J28" i="1"/>
  <c r="I23" i="1"/>
  <c r="T52" i="1"/>
  <c r="T54" i="1" s="1"/>
  <c r="T63" i="1"/>
  <c r="X59" i="1"/>
  <c r="V34" i="1"/>
  <c r="V37" i="1" s="1"/>
  <c r="P8" i="1"/>
  <c r="P11" i="1"/>
  <c r="P62" i="1"/>
  <c r="Z37" i="1"/>
  <c r="J16" i="1"/>
  <c r="G19" i="1"/>
  <c r="G11" i="1"/>
  <c r="K63" i="1"/>
  <c r="I28" i="1"/>
  <c r="H16" i="1"/>
  <c r="M8" i="1"/>
  <c r="K19" i="1"/>
  <c r="K21" i="1" s="1"/>
  <c r="K37" i="1"/>
  <c r="P16" i="1"/>
  <c r="Y11" i="1"/>
  <c r="Y7" i="1"/>
  <c r="K32" i="1"/>
  <c r="H23" i="1"/>
  <c r="AB21" i="1"/>
  <c r="Z59" i="1"/>
  <c r="S7" i="1"/>
  <c r="S11" i="1"/>
  <c r="AC61" i="1"/>
  <c r="AC65" i="1" s="1"/>
  <c r="AC56" i="1"/>
  <c r="AC59" i="1" s="1"/>
  <c r="E65" i="1" l="1"/>
  <c r="H48" i="1"/>
  <c r="J21" i="1"/>
  <c r="I32" i="1"/>
  <c r="G21" i="1"/>
  <c r="H26" i="1"/>
  <c r="V59" i="1"/>
  <c r="G37" i="1"/>
  <c r="Q61" i="1"/>
  <c r="Q65" i="1" s="1"/>
  <c r="M63" i="1"/>
  <c r="Z65" i="1"/>
  <c r="I26" i="1"/>
  <c r="J32" i="1"/>
  <c r="G26" i="1"/>
  <c r="W65" i="1"/>
  <c r="F65" i="1"/>
  <c r="L52" i="1"/>
  <c r="L54" i="1" s="1"/>
  <c r="P59" i="1"/>
  <c r="I48" i="1"/>
  <c r="Q59" i="1"/>
  <c r="N61" i="1"/>
  <c r="N65" i="1" s="1"/>
  <c r="J61" i="1"/>
  <c r="P64" i="1"/>
  <c r="G61" i="1"/>
  <c r="Y65" i="1"/>
  <c r="I62" i="1"/>
  <c r="K62" i="1"/>
  <c r="K65" i="1" s="1"/>
  <c r="U56" i="1"/>
  <c r="U59" i="1" s="1"/>
  <c r="M62" i="1"/>
  <c r="V61" i="1"/>
  <c r="V65" i="1" s="1"/>
  <c r="X62" i="1"/>
  <c r="X65" i="1" s="1"/>
  <c r="T61" i="1"/>
  <c r="T65" i="1" s="1"/>
  <c r="H11" i="1"/>
  <c r="H7" i="1"/>
  <c r="I63" i="1"/>
  <c r="I52" i="1"/>
  <c r="I54" i="1" s="1"/>
  <c r="J14" i="1"/>
  <c r="J62" i="1"/>
  <c r="I11" i="1"/>
  <c r="I7" i="1"/>
  <c r="P61" i="1"/>
  <c r="O64" i="1"/>
  <c r="O65" i="1" s="1"/>
  <c r="G8" i="1"/>
  <c r="L64" i="1"/>
  <c r="H14" i="1"/>
  <c r="H62" i="1"/>
  <c r="R61" i="1"/>
  <c r="R65" i="1" s="1"/>
  <c r="AB61" i="1"/>
  <c r="AB65" i="1" s="1"/>
  <c r="G52" i="1"/>
  <c r="G54" i="1" s="1"/>
  <c r="G63" i="1"/>
  <c r="T56" i="1"/>
  <c r="T59" i="1" s="1"/>
  <c r="S62" i="1"/>
  <c r="S65" i="1" s="1"/>
  <c r="M65" i="1" l="1"/>
  <c r="L63" i="1"/>
  <c r="L65" i="1" s="1"/>
  <c r="P65" i="1"/>
  <c r="U61" i="1"/>
  <c r="U65" i="1" s="1"/>
  <c r="G62" i="1"/>
  <c r="G65" i="1" s="1"/>
  <c r="I61" i="1"/>
  <c r="I65" i="1" s="1"/>
  <c r="J65" i="1"/>
  <c r="H61" i="1"/>
  <c r="H65" i="1" s="1"/>
</calcChain>
</file>

<file path=xl/sharedStrings.xml><?xml version="1.0" encoding="utf-8"?>
<sst xmlns="http://schemas.openxmlformats.org/spreadsheetml/2006/main" count="947" uniqueCount="156">
  <si>
    <t xml:space="preserve"> </t>
  </si>
  <si>
    <t xml:space="preserve">   Lower Undergraduate</t>
  </si>
  <si>
    <t xml:space="preserve">   Upper Undergraduate</t>
  </si>
  <si>
    <t xml:space="preserve">      Total</t>
  </si>
  <si>
    <t>Business</t>
  </si>
  <si>
    <t>Design</t>
  </si>
  <si>
    <t>Education</t>
  </si>
  <si>
    <t>Engineering</t>
  </si>
  <si>
    <t>Family and Consumer Sciences</t>
  </si>
  <si>
    <t>Liberal Arts and Sciences</t>
  </si>
  <si>
    <t>Veterinary Medicine</t>
  </si>
  <si>
    <t xml:space="preserve">   Professional</t>
  </si>
  <si>
    <t>COLLEGE*</t>
  </si>
  <si>
    <t>93-94</t>
  </si>
  <si>
    <t>94-95</t>
  </si>
  <si>
    <t>95-96</t>
  </si>
  <si>
    <t>96-97</t>
  </si>
  <si>
    <t>Summer</t>
  </si>
  <si>
    <t>Fall</t>
  </si>
  <si>
    <t>Spring</t>
  </si>
  <si>
    <t>Total</t>
  </si>
  <si>
    <t>97-98</t>
  </si>
  <si>
    <t xml:space="preserve">   Graduate</t>
  </si>
  <si>
    <t>98-99</t>
  </si>
  <si>
    <t>99-00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</si>
  <si>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</si>
  <si>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</si>
  <si>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</si>
  <si>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</si>
  <si>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</si>
  <si>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</si>
  <si>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</si>
  <si>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</si>
  <si>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</si>
  <si>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Lower Undergraduate</t>
  </si>
  <si>
    <t>Upper Undergraduate</t>
  </si>
  <si>
    <t>Graduate</t>
  </si>
  <si>
    <t>Professional</t>
  </si>
  <si>
    <t>00-01</t>
  </si>
  <si>
    <t>2000-2001</t>
  </si>
  <si>
    <t>2001-2002</t>
  </si>
  <si>
    <t>University FY Total</t>
  </si>
  <si>
    <t>University Total</t>
  </si>
  <si>
    <t>2002-2003</t>
  </si>
  <si>
    <t>01-02</t>
  </si>
  <si>
    <t>02-03</t>
  </si>
  <si>
    <t>03-04</t>
  </si>
  <si>
    <t>2003-2004</t>
  </si>
  <si>
    <t>Other (use library &amp; interdisc totals)</t>
  </si>
  <si>
    <t>2004-2005</t>
  </si>
  <si>
    <t>04-05</t>
  </si>
  <si>
    <t>2005-2006</t>
  </si>
  <si>
    <t>2006-2007</t>
  </si>
  <si>
    <t>05-06</t>
  </si>
  <si>
    <t>Human Sciences</t>
  </si>
  <si>
    <t>06-07</t>
  </si>
  <si>
    <t>Agriculture and Life Sciences</t>
  </si>
  <si>
    <t>2007-2008</t>
  </si>
  <si>
    <t>07-08</t>
  </si>
  <si>
    <t>2008-2009</t>
  </si>
  <si>
    <t>'08-09</t>
  </si>
  <si>
    <t>08-09</t>
  </si>
  <si>
    <t>2009-2010</t>
  </si>
  <si>
    <t>09-10</t>
  </si>
  <si>
    <t>2010-2011</t>
  </si>
  <si>
    <t>10-11</t>
  </si>
  <si>
    <t>2011-2012</t>
  </si>
  <si>
    <t>11-12</t>
  </si>
  <si>
    <t>2012-2013</t>
  </si>
  <si>
    <t>12-13</t>
  </si>
  <si>
    <t>2013-2014</t>
  </si>
  <si>
    <t>13-14</t>
  </si>
  <si>
    <t>Summer total</t>
  </si>
  <si>
    <t>Fall Total</t>
  </si>
  <si>
    <t>Spring Total</t>
  </si>
  <si>
    <t>FY Total</t>
  </si>
  <si>
    <t>14-15</t>
  </si>
  <si>
    <r>
      <t>COLLEGE</t>
    </r>
    <r>
      <rPr>
        <vertAlign val="superscript"/>
        <sz val="9"/>
        <rFont val="Univers 55"/>
      </rPr>
      <t>2</t>
    </r>
  </si>
  <si>
    <r>
      <t>Other</t>
    </r>
    <r>
      <rPr>
        <vertAlign val="superscript"/>
        <sz val="9"/>
        <rFont val="Univers 55"/>
      </rPr>
      <t>4</t>
    </r>
  </si>
  <si>
    <t>15-16</t>
  </si>
  <si>
    <t xml:space="preserve"> Fiscal Year, continued</t>
  </si>
  <si>
    <t xml:space="preserve">Undergraduate </t>
  </si>
  <si>
    <t>CALS</t>
  </si>
  <si>
    <t>BUS</t>
  </si>
  <si>
    <t>DSN</t>
  </si>
  <si>
    <t>ENGR</t>
  </si>
  <si>
    <t>HS</t>
  </si>
  <si>
    <t>LAS</t>
  </si>
  <si>
    <t>VM</t>
  </si>
  <si>
    <t>OTHER</t>
  </si>
  <si>
    <t>UT</t>
  </si>
  <si>
    <t>Level</t>
  </si>
  <si>
    <t>COLLEGE</t>
  </si>
  <si>
    <t>FY2007</t>
  </si>
  <si>
    <t>FY2008</t>
  </si>
  <si>
    <t>FY2009</t>
  </si>
  <si>
    <t>FY2010</t>
  </si>
  <si>
    <t>FY2011</t>
  </si>
  <si>
    <t>FY2012</t>
  </si>
  <si>
    <t>FY2013</t>
  </si>
  <si>
    <t>FY2014</t>
  </si>
  <si>
    <t>FY2015</t>
  </si>
  <si>
    <t>FY2016</t>
  </si>
  <si>
    <t xml:space="preserve">     </t>
  </si>
  <si>
    <t>Total SCH</t>
  </si>
  <si>
    <t>LUG</t>
  </si>
  <si>
    <t>UUG</t>
  </si>
  <si>
    <t>16-17</t>
  </si>
  <si>
    <t>FY2017</t>
  </si>
  <si>
    <t>Year???</t>
  </si>
  <si>
    <t>Purpose???</t>
  </si>
  <si>
    <t>17-18</t>
  </si>
  <si>
    <t>FY2018</t>
  </si>
  <si>
    <t>Other4</t>
  </si>
  <si>
    <t>18-19</t>
  </si>
  <si>
    <t>FY2019</t>
  </si>
  <si>
    <t>Total UG = LUG + UUG</t>
  </si>
  <si>
    <t>Office of Institutional Research (Data Source: e-Data Warehouse)</t>
  </si>
  <si>
    <r>
      <t>1</t>
    </r>
    <r>
      <rPr>
        <sz val="10"/>
        <rFont val="ITC Berkeley Oldstyle Std"/>
        <family val="1"/>
      </rPr>
      <t xml:space="preserve"> SCH are calculated by multiplying the course credit by the number of students enrolled in the course.</t>
    </r>
  </si>
  <si>
    <r>
      <t xml:space="preserve">4 </t>
    </r>
    <r>
      <rPr>
        <sz val="10"/>
        <rFont val="ITC Berkeley Oldstyle Std"/>
        <family val="1"/>
      </rPr>
      <t>Includes Library and interdepartmental courses taught by faculty who are not funded in the colleges.</t>
    </r>
  </si>
  <si>
    <t>2014-2015</t>
  </si>
  <si>
    <t>2015-2016</t>
  </si>
  <si>
    <t>2016-2017</t>
  </si>
  <si>
    <t>2017-2018</t>
  </si>
  <si>
    <t>2018-2019</t>
  </si>
  <si>
    <r>
      <t xml:space="preserve">2 </t>
    </r>
    <r>
      <rPr>
        <sz val="10"/>
        <rFont val="ITC Berkeley Oldstyle Std"/>
        <family val="1"/>
      </rPr>
      <t>All SCH are assigned to departments and colleges using course splits designated by teaching departments.</t>
    </r>
  </si>
  <si>
    <r>
      <t>Other</t>
    </r>
    <r>
      <rPr>
        <vertAlign val="superscript"/>
        <sz val="10"/>
        <rFont val="Univers 55"/>
      </rPr>
      <t>4</t>
    </r>
  </si>
  <si>
    <r>
      <t>Student Credit Hours (SCH) by College and Course Level</t>
    </r>
    <r>
      <rPr>
        <vertAlign val="superscript"/>
        <sz val="16"/>
        <rFont val="Univers LT Std 55"/>
        <family val="2"/>
      </rPr>
      <t>1,2</t>
    </r>
  </si>
  <si>
    <t>Student Credit Hours (SCH) by College and Course Level</t>
  </si>
  <si>
    <r>
      <t>COLLEGE</t>
    </r>
    <r>
      <rPr>
        <vertAlign val="superscript"/>
        <sz val="10"/>
        <rFont val="Univers 55"/>
        <family val="2"/>
      </rPr>
      <t>3</t>
    </r>
  </si>
  <si>
    <t>Total UG for Summer 2018 (for CALS)</t>
  </si>
  <si>
    <t>Total UG for Fall 2018 (for CALS)</t>
  </si>
  <si>
    <t>Total UG for Spring 2018 (for CALS)</t>
  </si>
  <si>
    <t>Total Ugs (for CALS)</t>
  </si>
  <si>
    <t>Double Checking Totals_SB</t>
  </si>
  <si>
    <r>
      <t xml:space="preserve">**These totals match the resource document as well </t>
    </r>
    <r>
      <rPr>
        <i/>
        <sz val="10"/>
        <rFont val="Univers 55"/>
      </rPr>
      <t>"Resource_SCH by College &amp; Course Level FY2019 - Excel"</t>
    </r>
  </si>
  <si>
    <t>19-20</t>
  </si>
  <si>
    <t>20-21</t>
  </si>
  <si>
    <t>2019-2020</t>
  </si>
  <si>
    <t>2020-2021</t>
  </si>
  <si>
    <t xml:space="preserve"> Fiscal Year</t>
  </si>
  <si>
    <t>FY2021</t>
  </si>
  <si>
    <t>FY2020</t>
  </si>
  <si>
    <r>
      <t xml:space="preserve">3 </t>
    </r>
    <r>
      <rPr>
        <sz val="10"/>
        <rFont val="ITC Berkeley Oldstyle Std"/>
        <family val="1"/>
      </rPr>
      <t>Colleges are organized for all years by the college structure existing on June 30, 2020.</t>
    </r>
  </si>
  <si>
    <t>2021-2022</t>
  </si>
  <si>
    <t>21-22</t>
  </si>
  <si>
    <t>FY2022</t>
  </si>
  <si>
    <t>2022-2023</t>
  </si>
  <si>
    <t>22-23</t>
  </si>
  <si>
    <t>FY2023</t>
  </si>
  <si>
    <t>23-24</t>
  </si>
  <si>
    <t>24-25</t>
  </si>
  <si>
    <t>2023-2024</t>
  </si>
  <si>
    <t>Last Updated: 5/13/2025</t>
  </si>
  <si>
    <t>FY2024</t>
  </si>
  <si>
    <t>Health and Human Sciences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</si>
</sst>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???,??0"/>
    <numFmt numFmtId="165" formatCode="?,???,??0"/>
    <numFmt numFmtId="166" formatCode="0.000"/>
    <numFmt numFmtId="167" formatCode="#,##0.000"/>
    <numFmt numFmtId="168" formatCode="0.0%"/>
  </numFmts>
  <fonts count="57">
    <font>
      <sz val="10"/>
      <name val="Univers 55"/>
    </font>
    <font>
      <sz val="10"/>
      <name val="Geneva"/>
    </font>
    <font>
      <sz val="10"/>
      <name val="Berkeley Italic"/>
    </font>
    <font>
      <sz val="7"/>
      <name val="Univers 75 Black"/>
    </font>
    <font>
      <sz val="10"/>
      <name val="Univers 55"/>
      <family val="2"/>
    </font>
    <font>
      <b/>
      <sz val="10"/>
      <name val="Univers 55"/>
      <family val="2"/>
    </font>
    <font>
      <vertAlign val="superscript"/>
      <sz val="9"/>
      <name val="Univers 55"/>
      <family val="2"/>
    </font>
    <font>
      <i/>
      <sz val="10"/>
      <name val="Berkeley"/>
      <family val="1"/>
    </font>
    <font>
      <b/>
      <sz val="10"/>
      <name val="Univers 45 Light"/>
      <family val="2"/>
    </font>
    <font>
      <sz val="10"/>
      <name val="Univers 45 Light"/>
      <family val="2"/>
    </font>
    <font>
      <i/>
      <sz val="9"/>
      <name val="Berkeley"/>
      <family val="1"/>
    </font>
    <font>
      <sz val="9"/>
      <name val="Univers 55"/>
      <family val="2"/>
    </font>
    <font>
      <b/>
      <sz val="9"/>
      <name val="Univers 45 Light"/>
      <family val="2"/>
    </font>
    <font>
      <sz val="9"/>
      <name val="Univers 45 Light"/>
      <family val="2"/>
    </font>
    <font>
      <sz val="9"/>
      <name val="Tms Rmn"/>
    </font>
    <font>
      <b/>
      <sz val="9"/>
      <name val="Tms Rmn"/>
    </font>
    <font>
      <b/>
      <sz val="9"/>
      <color indexed="10"/>
      <name val="Univers 55"/>
      <family val="2"/>
    </font>
    <font>
      <b/>
      <sz val="9"/>
      <name val="Univers 55"/>
      <family val="2"/>
    </font>
    <font>
      <b/>
      <sz val="9"/>
      <color indexed="10"/>
      <name val="Univers 45 Light"/>
      <family val="2"/>
    </font>
    <font>
      <b/>
      <sz val="9"/>
      <color indexed="9"/>
      <name val="Univers 45 Light"/>
      <family val="2"/>
    </font>
    <font>
      <sz val="9"/>
      <color indexed="9"/>
      <name val="Tms Rmn"/>
    </font>
    <font>
      <b/>
      <sz val="9"/>
      <color indexed="12"/>
      <name val="Univers 45 Light"/>
      <family val="2"/>
    </font>
    <font>
      <sz val="9"/>
      <color indexed="9"/>
      <name val="Univers 55"/>
      <family val="2"/>
    </font>
    <font>
      <b/>
      <sz val="9"/>
      <name val="Univers 65 Bold"/>
    </font>
    <font>
      <sz val="9"/>
      <name val="Univers 55"/>
    </font>
    <font>
      <sz val="9"/>
      <name val="Univers LT Std 45 Light"/>
      <family val="2"/>
    </font>
    <font>
      <sz val="9"/>
      <name val="Univers 45 Light"/>
    </font>
    <font>
      <vertAlign val="superscript"/>
      <sz val="9"/>
      <name val="Univers 55"/>
    </font>
    <font>
      <b/>
      <sz val="9"/>
      <name val="Univers 55"/>
    </font>
    <font>
      <b/>
      <sz val="9"/>
      <name val="Univers LT Std 45 Light"/>
      <family val="2"/>
    </font>
    <font>
      <sz val="8"/>
      <name val="Univers 55"/>
    </font>
    <font>
      <b/>
      <sz val="8"/>
      <name val="Univers 55"/>
      <family val="2"/>
    </font>
    <font>
      <b/>
      <sz val="8"/>
      <name val="Univers 55"/>
    </font>
    <font>
      <sz val="8"/>
      <name val="Univers 55"/>
      <family val="2"/>
    </font>
    <font>
      <b/>
      <sz val="8"/>
      <name val="Univers LT Std 45 Light"/>
      <family val="2"/>
    </font>
    <font>
      <b/>
      <sz val="8"/>
      <name val="Univers 45 Light"/>
      <family val="2"/>
    </font>
    <font>
      <b/>
      <sz val="10"/>
      <name val="Univers 55"/>
    </font>
    <font>
      <b/>
      <sz val="9"/>
      <color theme="1"/>
      <name val="Univers 45 Light"/>
      <family val="2"/>
    </font>
    <font>
      <b/>
      <sz val="9"/>
      <color rgb="FFFF0000"/>
      <name val="Univers 55"/>
      <family val="2"/>
    </font>
    <font>
      <sz val="10"/>
      <name val="Univers 55"/>
    </font>
    <font>
      <b/>
      <sz val="14"/>
      <name val="Univers LT Std 55"/>
      <family val="2"/>
    </font>
    <font>
      <sz val="14"/>
      <name val="Univers LT Std 55"/>
      <family val="2"/>
    </font>
    <font>
      <b/>
      <sz val="7"/>
      <name val="Univers 75 Black"/>
    </font>
    <font>
      <sz val="10"/>
      <color theme="0"/>
      <name val="Univers 55"/>
    </font>
    <font>
      <b/>
      <sz val="9"/>
      <color theme="0"/>
      <name val="Univers LT Std 45 Light"/>
      <family val="2"/>
    </font>
    <font>
      <b/>
      <sz val="8"/>
      <color theme="0"/>
      <name val="Univers 45 Light"/>
      <family val="2"/>
    </font>
    <font>
      <b/>
      <sz val="8"/>
      <color theme="0"/>
      <name val="Univers LT Std 45 Light"/>
      <family val="2"/>
    </font>
    <font>
      <sz val="9"/>
      <color theme="0"/>
      <name val="Univers 55"/>
      <family val="2"/>
    </font>
    <font>
      <sz val="8"/>
      <color theme="0"/>
      <name val="Univers 55"/>
      <family val="2"/>
    </font>
    <font>
      <i/>
      <sz val="10"/>
      <name val="Univers 55"/>
    </font>
    <font>
      <i/>
      <sz val="10"/>
      <name val="ITC Berkeley Oldstyle Std"/>
      <family val="1"/>
    </font>
    <font>
      <vertAlign val="superscript"/>
      <sz val="10"/>
      <name val="ITC Berkeley Oldstyle Std"/>
      <family val="1"/>
    </font>
    <font>
      <sz val="10"/>
      <name val="ITC Berkeley Oldstyle Std"/>
      <family val="1"/>
    </font>
    <font>
      <vertAlign val="superscript"/>
      <sz val="10"/>
      <name val="Univers 55"/>
    </font>
    <font>
      <vertAlign val="superscript"/>
      <sz val="16"/>
      <name val="Univers LT Std 55"/>
      <family val="2"/>
    </font>
    <font>
      <sz val="10"/>
      <name val="Tms Rmn"/>
    </font>
    <font>
      <vertAlign val="superscript"/>
      <sz val="10"/>
      <name val="Univers 55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12"/>
      </bottom>
      <diagonal/>
    </border>
    <border>
      <left/>
      <right/>
      <top style="medium">
        <color indexed="12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0" fontId="1" fillId="0" borderId="0" applyFont="0" applyFill="0" applyBorder="0" applyAlignment="0" applyProtection="0"/>
    <xf numFmtId="0" fontId="4" fillId="0" borderId="0"/>
    <xf numFmtId="9" fontId="39" fillId="0" borderId="0" applyFont="0" applyFill="0" applyBorder="0" applyAlignment="0" applyProtection="0"/>
  </cellStyleXfs>
  <cellXfs count="20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3" fontId="11" fillId="0" borderId="0" xfId="0" applyNumberFormat="1" applyFont="1"/>
    <xf numFmtId="3" fontId="12" fillId="0" borderId="0" xfId="0" applyNumberFormat="1" applyFont="1"/>
    <xf numFmtId="3" fontId="13" fillId="0" borderId="0" xfId="0" applyNumberFormat="1" applyFont="1"/>
    <xf numFmtId="3" fontId="14" fillId="0" borderId="0" xfId="0" applyNumberFormat="1" applyFont="1"/>
    <xf numFmtId="3" fontId="15" fillId="0" borderId="0" xfId="0" applyNumberFormat="1" applyFont="1"/>
    <xf numFmtId="3" fontId="16" fillId="0" borderId="0" xfId="0" applyNumberFormat="1" applyFont="1"/>
    <xf numFmtId="3" fontId="17" fillId="0" borderId="0" xfId="0" applyNumberFormat="1" applyFont="1"/>
    <xf numFmtId="3" fontId="8" fillId="0" borderId="0" xfId="0" applyNumberFormat="1" applyFont="1"/>
    <xf numFmtId="3" fontId="14" fillId="0" borderId="1" xfId="0" applyNumberFormat="1" applyFont="1" applyBorder="1"/>
    <xf numFmtId="3" fontId="14" fillId="0" borderId="2" xfId="0" applyNumberFormat="1" applyFont="1" applyBorder="1"/>
    <xf numFmtId="3" fontId="18" fillId="0" borderId="0" xfId="0" applyNumberFormat="1" applyFont="1"/>
    <xf numFmtId="3" fontId="5" fillId="0" borderId="0" xfId="0" applyNumberFormat="1" applyFont="1"/>
    <xf numFmtId="3" fontId="0" fillId="0" borderId="0" xfId="0" applyNumberFormat="1"/>
    <xf numFmtId="38" fontId="0" fillId="0" borderId="0" xfId="0" applyNumberFormat="1"/>
    <xf numFmtId="0" fontId="11" fillId="0" borderId="0" xfId="0" applyFont="1"/>
    <xf numFmtId="38" fontId="11" fillId="0" borderId="0" xfId="1" applyNumberFormat="1" applyFont="1"/>
    <xf numFmtId="38" fontId="11" fillId="0" borderId="3" xfId="1" applyNumberFormat="1" applyFont="1" applyBorder="1"/>
    <xf numFmtId="3" fontId="19" fillId="0" borderId="0" xfId="0" applyNumberFormat="1" applyFont="1"/>
    <xf numFmtId="3" fontId="20" fillId="0" borderId="0" xfId="0" applyNumberFormat="1" applyFont="1"/>
    <xf numFmtId="3" fontId="21" fillId="0" borderId="4" xfId="0" applyNumberFormat="1" applyFont="1" applyBorder="1"/>
    <xf numFmtId="3" fontId="21" fillId="0" borderId="4" xfId="0" applyNumberFormat="1" applyFont="1" applyBorder="1" applyAlignment="1">
      <alignment horizontal="right"/>
    </xf>
    <xf numFmtId="3" fontId="21" fillId="0" borderId="4" xfId="0" quotePrefix="1" applyNumberFormat="1" applyFont="1" applyBorder="1" applyAlignment="1">
      <alignment horizontal="right"/>
    </xf>
    <xf numFmtId="38" fontId="11" fillId="0" borderId="1" xfId="1" applyNumberFormat="1" applyFont="1" applyBorder="1"/>
    <xf numFmtId="38" fontId="11" fillId="0" borderId="2" xfId="1" applyNumberFormat="1" applyFont="1" applyBorder="1"/>
    <xf numFmtId="38" fontId="11" fillId="0" borderId="0" xfId="1" applyNumberFormat="1" applyFont="1" applyBorder="1"/>
    <xf numFmtId="0" fontId="6" fillId="0" borderId="0" xfId="0" applyFont="1" applyAlignment="1">
      <alignment vertical="top"/>
    </xf>
    <xf numFmtId="3" fontId="15" fillId="0" borderId="5" xfId="0" applyNumberFormat="1" applyFont="1" applyBorder="1"/>
    <xf numFmtId="0" fontId="17" fillId="0" borderId="3" xfId="0" applyFont="1" applyBorder="1"/>
    <xf numFmtId="0" fontId="17" fillId="0" borderId="3" xfId="0" applyFont="1" applyBorder="1" applyAlignment="1">
      <alignment horizontal="right"/>
    </xf>
    <xf numFmtId="0" fontId="12" fillId="0" borderId="0" xfId="0" applyFont="1" applyAlignment="1">
      <alignment vertical="center"/>
    </xf>
    <xf numFmtId="37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/>
    <xf numFmtId="37" fontId="11" fillId="0" borderId="0" xfId="0" applyNumberFormat="1" applyFont="1"/>
    <xf numFmtId="0" fontId="12" fillId="0" borderId="0" xfId="0" applyFont="1"/>
    <xf numFmtId="37" fontId="22" fillId="0" borderId="0" xfId="0" applyNumberFormat="1" applyFont="1"/>
    <xf numFmtId="37" fontId="12" fillId="0" borderId="0" xfId="0" applyNumberFormat="1" applyFont="1" applyAlignment="1">
      <alignment vertical="center"/>
    </xf>
    <xf numFmtId="37" fontId="12" fillId="0" borderId="0" xfId="0" applyNumberFormat="1" applyFont="1"/>
    <xf numFmtId="0" fontId="23" fillId="0" borderId="0" xfId="0" applyFont="1" applyAlignment="1">
      <alignment vertical="top"/>
    </xf>
    <xf numFmtId="37" fontId="11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0" fontId="17" fillId="0" borderId="0" xfId="0" applyFont="1" applyAlignment="1">
      <alignment vertical="top"/>
    </xf>
    <xf numFmtId="3" fontId="7" fillId="0" borderId="0" xfId="0" applyNumberFormat="1" applyFont="1"/>
    <xf numFmtId="0" fontId="17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2" fillId="2" borderId="0" xfId="0" applyFont="1" applyFill="1"/>
    <xf numFmtId="37" fontId="11" fillId="2" borderId="0" xfId="0" applyNumberFormat="1" applyFont="1" applyFill="1"/>
    <xf numFmtId="0" fontId="11" fillId="2" borderId="0" xfId="0" applyFont="1" applyFill="1"/>
    <xf numFmtId="164" fontId="11" fillId="2" borderId="0" xfId="0" applyNumberFormat="1" applyFont="1" applyFill="1" applyAlignment="1">
      <alignment horizontal="center"/>
    </xf>
    <xf numFmtId="164" fontId="11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7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37" fontId="11" fillId="2" borderId="0" xfId="0" applyNumberFormat="1" applyFont="1" applyFill="1" applyAlignment="1">
      <alignment vertical="center"/>
    </xf>
    <xf numFmtId="164" fontId="11" fillId="2" borderId="0" xfId="0" applyNumberFormat="1" applyFont="1" applyFill="1" applyAlignment="1">
      <alignment horizontal="center" vertical="center"/>
    </xf>
    <xf numFmtId="0" fontId="24" fillId="0" borderId="0" xfId="0" applyFont="1" applyAlignment="1">
      <alignment horizontal="right"/>
    </xf>
    <xf numFmtId="3" fontId="25" fillId="0" borderId="0" xfId="0" applyNumberFormat="1" applyFont="1"/>
    <xf numFmtId="3" fontId="26" fillId="0" borderId="0" xfId="0" applyNumberFormat="1" applyFont="1"/>
    <xf numFmtId="3" fontId="26" fillId="0" borderId="0" xfId="0" applyNumberFormat="1" applyFont="1" applyAlignment="1">
      <alignment horizontal="left"/>
    </xf>
    <xf numFmtId="3" fontId="37" fillId="0" borderId="0" xfId="0" applyNumberFormat="1" applyFont="1"/>
    <xf numFmtId="0" fontId="28" fillId="0" borderId="3" xfId="0" applyFont="1" applyBorder="1" applyAlignment="1">
      <alignment horizontal="center"/>
    </xf>
    <xf numFmtId="164" fontId="12" fillId="0" borderId="0" xfId="0" applyNumberFormat="1" applyFont="1" applyAlignment="1">
      <alignment vertical="center"/>
    </xf>
    <xf numFmtId="0" fontId="29" fillId="2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164" fontId="33" fillId="2" borderId="0" xfId="0" applyNumberFormat="1" applyFont="1" applyFill="1" applyAlignment="1">
      <alignment horizontal="center" vertical="center"/>
    </xf>
    <xf numFmtId="164" fontId="34" fillId="2" borderId="0" xfId="0" applyNumberFormat="1" applyFont="1" applyFill="1" applyAlignment="1">
      <alignment horizontal="center" vertical="center"/>
    </xf>
    <xf numFmtId="37" fontId="33" fillId="0" borderId="0" xfId="0" applyNumberFormat="1" applyFont="1" applyAlignment="1">
      <alignment vertical="center"/>
    </xf>
    <xf numFmtId="164" fontId="33" fillId="0" borderId="0" xfId="0" applyNumberFormat="1" applyFont="1" applyAlignment="1">
      <alignment horizontal="center" vertical="center"/>
    </xf>
    <xf numFmtId="37" fontId="34" fillId="0" borderId="0" xfId="0" applyNumberFormat="1" applyFont="1" applyAlignment="1">
      <alignment vertical="center"/>
    </xf>
    <xf numFmtId="164" fontId="34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37" fontId="35" fillId="0" borderId="0" xfId="0" applyNumberFormat="1" applyFont="1"/>
    <xf numFmtId="0" fontId="30" fillId="0" borderId="0" xfId="0" applyFont="1"/>
    <xf numFmtId="0" fontId="17" fillId="0" borderId="3" xfId="0" applyFont="1" applyBorder="1" applyAlignment="1">
      <alignment wrapText="1"/>
    </xf>
    <xf numFmtId="0" fontId="31" fillId="0" borderId="3" xfId="0" applyFont="1" applyBorder="1" applyAlignment="1">
      <alignment horizontal="right" wrapText="1"/>
    </xf>
    <xf numFmtId="0" fontId="31" fillId="0" borderId="3" xfId="0" applyFont="1" applyBorder="1" applyAlignment="1">
      <alignment horizontal="center" wrapText="1"/>
    </xf>
    <xf numFmtId="0" fontId="32" fillId="0" borderId="3" xfId="0" applyFont="1" applyBorder="1" applyAlignment="1">
      <alignment horizontal="center" wrapText="1"/>
    </xf>
    <xf numFmtId="0" fontId="35" fillId="2" borderId="0" xfId="0" applyFont="1" applyFill="1"/>
    <xf numFmtId="0" fontId="35" fillId="0" borderId="0" xfId="0" applyFont="1"/>
    <xf numFmtId="0" fontId="36" fillId="0" borderId="0" xfId="0" applyFont="1"/>
    <xf numFmtId="37" fontId="12" fillId="0" borderId="6" xfId="0" applyNumberFormat="1" applyFont="1" applyBorder="1" applyAlignment="1">
      <alignment vertical="center"/>
    </xf>
    <xf numFmtId="164" fontId="12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32" fillId="0" borderId="3" xfId="0" applyFont="1" applyBorder="1" applyAlignment="1">
      <alignment horizontal="right" wrapText="1"/>
    </xf>
    <xf numFmtId="37" fontId="12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164" fontId="0" fillId="0" borderId="0" xfId="0" applyNumberFormat="1"/>
    <xf numFmtId="40" fontId="11" fillId="0" borderId="1" xfId="1" applyFont="1" applyBorder="1"/>
    <xf numFmtId="40" fontId="11" fillId="0" borderId="2" xfId="1" applyFont="1" applyBorder="1"/>
    <xf numFmtId="40" fontId="11" fillId="0" borderId="3" xfId="1" applyFont="1" applyBorder="1"/>
    <xf numFmtId="40" fontId="11" fillId="0" borderId="0" xfId="1" applyFont="1"/>
    <xf numFmtId="165" fontId="12" fillId="0" borderId="0" xfId="0" applyNumberFormat="1" applyFont="1" applyAlignment="1">
      <alignment horizontal="center" vertical="center"/>
    </xf>
    <xf numFmtId="4" fontId="8" fillId="0" borderId="0" xfId="0" applyNumberFormat="1" applyFont="1"/>
    <xf numFmtId="9" fontId="30" fillId="0" borderId="0" xfId="3" applyFont="1"/>
    <xf numFmtId="166" fontId="30" fillId="0" borderId="0" xfId="0" applyNumberFormat="1" applyFont="1"/>
    <xf numFmtId="166" fontId="30" fillId="0" borderId="0" xfId="3" applyNumberFormat="1" applyFont="1"/>
    <xf numFmtId="0" fontId="17" fillId="3" borderId="0" xfId="0" applyFont="1" applyFill="1" applyAlignment="1">
      <alignment vertical="center"/>
    </xf>
    <xf numFmtId="164" fontId="33" fillId="3" borderId="0" xfId="0" applyNumberFormat="1" applyFont="1" applyFill="1" applyAlignment="1">
      <alignment horizontal="center" vertical="center"/>
    </xf>
    <xf numFmtId="0" fontId="17" fillId="3" borderId="3" xfId="0" applyFont="1" applyFill="1" applyBorder="1" applyAlignment="1">
      <alignment vertical="center"/>
    </xf>
    <xf numFmtId="164" fontId="33" fillId="3" borderId="3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right" wrapText="1"/>
    </xf>
    <xf numFmtId="0" fontId="42" fillId="0" borderId="0" xfId="0" applyFont="1"/>
    <xf numFmtId="0" fontId="17" fillId="2" borderId="0" xfId="0" applyFont="1" applyFill="1"/>
    <xf numFmtId="164" fontId="17" fillId="2" borderId="0" xfId="0" applyNumberFormat="1" applyFont="1" applyFill="1" applyAlignment="1">
      <alignment horizontal="center" vertical="center"/>
    </xf>
    <xf numFmtId="164" fontId="17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 vertical="center"/>
    </xf>
    <xf numFmtId="164" fontId="17" fillId="2" borderId="0" xfId="0" applyNumberFormat="1" applyFont="1" applyFill="1" applyAlignment="1">
      <alignment horizontal="center"/>
    </xf>
    <xf numFmtId="164" fontId="17" fillId="0" borderId="3" xfId="0" applyNumberFormat="1" applyFont="1" applyBorder="1" applyAlignment="1">
      <alignment horizontal="center" vertical="center"/>
    </xf>
    <xf numFmtId="0" fontId="43" fillId="0" borderId="0" xfId="0" applyFont="1"/>
    <xf numFmtId="0" fontId="44" fillId="0" borderId="0" xfId="0" applyFont="1" applyAlignment="1">
      <alignment vertical="center"/>
    </xf>
    <xf numFmtId="0" fontId="45" fillId="0" borderId="0" xfId="0" applyFont="1"/>
    <xf numFmtId="164" fontId="46" fillId="0" borderId="0" xfId="0" applyNumberFormat="1" applyFont="1" applyAlignment="1">
      <alignment horizontal="center" vertical="center"/>
    </xf>
    <xf numFmtId="0" fontId="47" fillId="0" borderId="0" xfId="0" applyFont="1" applyAlignment="1">
      <alignment vertical="center"/>
    </xf>
    <xf numFmtId="164" fontId="48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left" vertical="center"/>
    </xf>
    <xf numFmtId="3" fontId="3" fillId="0" borderId="0" xfId="0" applyNumberFormat="1" applyFont="1"/>
    <xf numFmtId="3" fontId="11" fillId="0" borderId="0" xfId="0" applyNumberFormat="1" applyFont="1" applyAlignment="1">
      <alignment vertical="top"/>
    </xf>
    <xf numFmtId="3" fontId="9" fillId="0" borderId="0" xfId="0" applyNumberFormat="1" applyFont="1"/>
    <xf numFmtId="3" fontId="11" fillId="0" borderId="1" xfId="1" applyNumberFormat="1" applyFont="1" applyBorder="1"/>
    <xf numFmtId="3" fontId="11" fillId="0" borderId="2" xfId="1" applyNumberFormat="1" applyFont="1" applyBorder="1"/>
    <xf numFmtId="3" fontId="11" fillId="0" borderId="3" xfId="1" applyNumberFormat="1" applyFont="1" applyBorder="1"/>
    <xf numFmtId="3" fontId="11" fillId="0" borderId="0" xfId="1" applyNumberFormat="1" applyFont="1"/>
    <xf numFmtId="164" fontId="11" fillId="2" borderId="0" xfId="0" applyNumberFormat="1" applyFont="1" applyFill="1"/>
    <xf numFmtId="164" fontId="12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right" wrapText="1"/>
    </xf>
    <xf numFmtId="0" fontId="17" fillId="0" borderId="3" xfId="0" applyFont="1" applyBorder="1" applyAlignment="1">
      <alignment horizontal="center" wrapText="1"/>
    </xf>
    <xf numFmtId="0" fontId="49" fillId="0" borderId="0" xfId="0" applyFont="1"/>
    <xf numFmtId="3" fontId="10" fillId="0" borderId="0" xfId="0" applyNumberFormat="1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vertical="center"/>
    </xf>
    <xf numFmtId="0" fontId="50" fillId="0" borderId="0" xfId="0" applyFont="1" applyAlignment="1">
      <alignment horizontal="left" vertical="center"/>
    </xf>
    <xf numFmtId="0" fontId="51" fillId="0" borderId="0" xfId="0" applyFont="1"/>
    <xf numFmtId="0" fontId="51" fillId="0" borderId="0" xfId="0" applyFont="1" applyAlignment="1">
      <alignment vertical="top"/>
    </xf>
    <xf numFmtId="37" fontId="52" fillId="0" borderId="0" xfId="0" applyNumberFormat="1" applyFont="1" applyAlignment="1">
      <alignment vertical="top"/>
    </xf>
    <xf numFmtId="3" fontId="52" fillId="0" borderId="0" xfId="0" applyNumberFormat="1" applyFont="1" applyAlignment="1">
      <alignment vertical="top"/>
    </xf>
    <xf numFmtId="0" fontId="52" fillId="0" borderId="0" xfId="0" applyFont="1" applyAlignment="1">
      <alignment vertical="top"/>
    </xf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37" fontId="52" fillId="0" borderId="0" xfId="0" applyNumberFormat="1" applyFont="1" applyAlignment="1">
      <alignment vertical="center"/>
    </xf>
    <xf numFmtId="3" fontId="52" fillId="0" borderId="0" xfId="0" applyNumberFormat="1" applyFont="1" applyAlignment="1">
      <alignment vertical="center"/>
    </xf>
    <xf numFmtId="3" fontId="10" fillId="0" borderId="0" xfId="0" applyNumberFormat="1" applyFont="1"/>
    <xf numFmtId="0" fontId="36" fillId="0" borderId="3" xfId="0" applyFont="1" applyBorder="1" applyAlignment="1">
      <alignment horizontal="center" wrapText="1"/>
    </xf>
    <xf numFmtId="3" fontId="36" fillId="0" borderId="3" xfId="0" applyNumberFormat="1" applyFont="1" applyBorder="1" applyAlignment="1">
      <alignment horizontal="center" wrapText="1"/>
    </xf>
    <xf numFmtId="0" fontId="4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3" fontId="41" fillId="0" borderId="0" xfId="0" applyNumberFormat="1" applyFont="1" applyAlignment="1">
      <alignment horizontal="left"/>
    </xf>
    <xf numFmtId="0" fontId="11" fillId="2" borderId="7" xfId="0" applyFont="1" applyFill="1" applyBorder="1"/>
    <xf numFmtId="164" fontId="11" fillId="2" borderId="8" xfId="0" applyNumberFormat="1" applyFont="1" applyFill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/>
    </xf>
    <xf numFmtId="164" fontId="11" fillId="0" borderId="8" xfId="0" applyNumberFormat="1" applyFont="1" applyBorder="1" applyAlignment="1">
      <alignment horizontal="center" vertical="center"/>
    </xf>
    <xf numFmtId="164" fontId="11" fillId="2" borderId="8" xfId="0" applyNumberFormat="1" applyFont="1" applyFill="1" applyBorder="1" applyAlignment="1">
      <alignment horizontal="center"/>
    </xf>
    <xf numFmtId="164" fontId="11" fillId="0" borderId="9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/>
    </xf>
    <xf numFmtId="165" fontId="12" fillId="0" borderId="8" xfId="0" applyNumberFormat="1" applyFont="1" applyBorder="1" applyAlignment="1">
      <alignment horizontal="center" vertical="center"/>
    </xf>
    <xf numFmtId="0" fontId="28" fillId="0" borderId="9" xfId="0" applyFont="1" applyBorder="1" applyAlignment="1">
      <alignment horizontal="center"/>
    </xf>
    <xf numFmtId="0" fontId="17" fillId="2" borderId="8" xfId="0" applyFont="1" applyFill="1" applyBorder="1"/>
    <xf numFmtId="164" fontId="17" fillId="2" borderId="8" xfId="0" applyNumberFormat="1" applyFont="1" applyFill="1" applyBorder="1" applyAlignment="1">
      <alignment horizontal="center" vertical="center"/>
    </xf>
    <xf numFmtId="164" fontId="17" fillId="0" borderId="8" xfId="0" applyNumberFormat="1" applyFont="1" applyBorder="1" applyAlignment="1">
      <alignment horizontal="center"/>
    </xf>
    <xf numFmtId="164" fontId="17" fillId="0" borderId="8" xfId="0" applyNumberFormat="1" applyFont="1" applyBorder="1" applyAlignment="1">
      <alignment horizontal="center" vertical="center"/>
    </xf>
    <xf numFmtId="164" fontId="17" fillId="2" borderId="8" xfId="0" applyNumberFormat="1" applyFont="1" applyFill="1" applyBorder="1" applyAlignment="1">
      <alignment horizontal="center"/>
    </xf>
    <xf numFmtId="164" fontId="17" fillId="0" borderId="9" xfId="0" applyNumberFormat="1" applyFont="1" applyBorder="1" applyAlignment="1">
      <alignment horizontal="center" vertical="center"/>
    </xf>
    <xf numFmtId="3" fontId="55" fillId="0" borderId="1" xfId="0" applyNumberFormat="1" applyFont="1" applyBorder="1"/>
    <xf numFmtId="3" fontId="55" fillId="0" borderId="2" xfId="0" applyNumberFormat="1" applyFont="1" applyBorder="1"/>
    <xf numFmtId="0" fontId="28" fillId="2" borderId="0" xfId="0" applyFont="1" applyFill="1" applyAlignment="1">
      <alignment vertical="center"/>
    </xf>
    <xf numFmtId="37" fontId="28" fillId="2" borderId="0" xfId="0" applyNumberFormat="1" applyFont="1" applyFill="1" applyAlignment="1">
      <alignment vertical="center"/>
    </xf>
    <xf numFmtId="164" fontId="28" fillId="2" borderId="0" xfId="0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37" fontId="28" fillId="0" borderId="0" xfId="0" applyNumberFormat="1" applyFont="1" applyAlignment="1">
      <alignment vertical="center"/>
    </xf>
    <xf numFmtId="164" fontId="28" fillId="0" borderId="0" xfId="0" applyNumberFormat="1" applyFont="1" applyAlignment="1">
      <alignment horizontal="center" vertical="center"/>
    </xf>
    <xf numFmtId="0" fontId="28" fillId="0" borderId="3" xfId="0" applyFont="1" applyBorder="1" applyAlignment="1">
      <alignment vertical="center"/>
    </xf>
    <xf numFmtId="37" fontId="28" fillId="0" borderId="3" xfId="0" applyNumberFormat="1" applyFont="1" applyBorder="1" applyAlignment="1">
      <alignment vertical="center"/>
    </xf>
    <xf numFmtId="164" fontId="28" fillId="0" borderId="3" xfId="0" applyNumberFormat="1" applyFont="1" applyBorder="1" applyAlignment="1">
      <alignment horizontal="center" vertical="center"/>
    </xf>
    <xf numFmtId="0" fontId="8" fillId="2" borderId="0" xfId="0" applyFont="1" applyFill="1"/>
    <xf numFmtId="0" fontId="5" fillId="0" borderId="3" xfId="0" applyFont="1" applyBorder="1"/>
    <xf numFmtId="0" fontId="0" fillId="0" borderId="3" xfId="0" applyBorder="1"/>
    <xf numFmtId="2" fontId="0" fillId="0" borderId="0" xfId="0" applyNumberFormat="1" applyAlignment="1">
      <alignment horizontal="center" vertical="center"/>
    </xf>
    <xf numFmtId="3" fontId="21" fillId="0" borderId="0" xfId="0" quotePrefix="1" applyNumberFormat="1" applyFont="1" applyAlignment="1">
      <alignment horizontal="right"/>
    </xf>
    <xf numFmtId="3" fontId="55" fillId="0" borderId="0" xfId="0" applyNumberFormat="1" applyFont="1"/>
    <xf numFmtId="3" fontId="11" fillId="0" borderId="0" xfId="1" applyNumberFormat="1" applyFont="1" applyBorder="1"/>
    <xf numFmtId="0" fontId="32" fillId="0" borderId="0" xfId="0" applyFont="1" applyAlignment="1">
      <alignment horizontal="center" wrapText="1"/>
    </xf>
    <xf numFmtId="1" fontId="12" fillId="0" borderId="0" xfId="0" applyNumberFormat="1" applyFont="1" applyAlignment="1">
      <alignment horizontal="center" vertical="center"/>
    </xf>
    <xf numFmtId="167" fontId="11" fillId="0" borderId="3" xfId="1" applyNumberFormat="1" applyFont="1" applyBorder="1"/>
    <xf numFmtId="167" fontId="11" fillId="0" borderId="2" xfId="1" applyNumberFormat="1" applyFont="1" applyBorder="1"/>
    <xf numFmtId="168" fontId="30" fillId="0" borderId="0" xfId="3" applyNumberFormat="1" applyFont="1"/>
    <xf numFmtId="3" fontId="12" fillId="4" borderId="0" xfId="0" applyNumberFormat="1" applyFont="1" applyFill="1"/>
    <xf numFmtId="3" fontId="55" fillId="4" borderId="0" xfId="0" applyNumberFormat="1" applyFont="1" applyFill="1"/>
  </cellXfs>
  <cellStyles count="4">
    <cellStyle name="Comma" xfId="1" builtinId="3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2D602A"/>
      <color rgb="FFD9D9D9"/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ysClr val="windowText" lastClr="000000"/>
                </a:solidFill>
                <a:latin typeface="Univers 45 Light" pitchFamily="34" charset="0"/>
              </a:rPr>
              <a:t>Tota</a:t>
            </a:r>
            <a:r>
              <a:rPr lang="en-US" sz="1400" b="1" baseline="0">
                <a:solidFill>
                  <a:sysClr val="windowText" lastClr="000000"/>
                </a:solidFill>
                <a:latin typeface="Univers 45 Light" pitchFamily="34" charset="0"/>
              </a:rPr>
              <a:t>l SCH by College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ysClr val="windowText" lastClr="000000"/>
                </a:solidFill>
                <a:latin typeface="Univers 45 Light" pitchFamily="34" charset="0"/>
              </a:rPr>
              <a:t>Fiscal Year 2023-24</a:t>
            </a:r>
          </a:p>
        </c:rich>
      </c:tx>
      <c:layout>
        <c:manualLayout>
          <c:xMode val="edge"/>
          <c:yMode val="edge"/>
          <c:x val="0.14539994800969369"/>
          <c:y val="0.4044147057815160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4725920235580305"/>
          <c:y val="0.12093117091706823"/>
          <c:w val="0.33521840121422519"/>
          <c:h val="0.7603141998554529"/>
        </c:manualLayout>
      </c:layout>
      <c:pieChart>
        <c:varyColors val="1"/>
        <c:ser>
          <c:idx val="0"/>
          <c:order val="0"/>
          <c:tx>
            <c:strRef>
              <c:f>'Data &amp; Chart_Pie Chart (Page 2)'!$B$4</c:f>
              <c:strCache>
                <c:ptCount val="1"/>
                <c:pt idx="0">
                  <c:v>FY2024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2BF49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C2C-44E2-ACB7-066622AA63F1}"/>
              </c:ext>
            </c:extLst>
          </c:dPt>
          <c:dPt>
            <c:idx val="1"/>
            <c:bubble3D val="0"/>
            <c:spPr>
              <a:solidFill>
                <a:srgbClr val="CE112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C2C-44E2-ACB7-066622AA63F1}"/>
              </c:ext>
            </c:extLst>
          </c:dPt>
          <c:dPt>
            <c:idx val="2"/>
            <c:bubble3D val="0"/>
            <c:spPr>
              <a:solidFill>
                <a:srgbClr val="3A75C4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C2C-44E2-ACB7-066622AA63F1}"/>
              </c:ext>
            </c:extLst>
          </c:dPt>
          <c:dPt>
            <c:idx val="3"/>
            <c:bubble3D val="0"/>
            <c:spPr>
              <a:solidFill>
                <a:srgbClr val="076D54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C2C-44E2-ACB7-066622AA63F1}"/>
              </c:ext>
            </c:extLst>
          </c:dPt>
          <c:dPt>
            <c:idx val="4"/>
            <c:bubble3D val="0"/>
            <c:spPr>
              <a:solidFill>
                <a:srgbClr val="C4B79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C2C-44E2-ACB7-066622AA63F1}"/>
              </c:ext>
            </c:extLst>
          </c:dPt>
          <c:dPt>
            <c:idx val="5"/>
            <c:bubble3D val="0"/>
            <c:spPr>
              <a:solidFill>
                <a:srgbClr val="8499A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C2C-44E2-ACB7-066622AA63F1}"/>
              </c:ext>
            </c:extLst>
          </c:dPt>
          <c:dPt>
            <c:idx val="6"/>
            <c:bubble3D val="0"/>
            <c:spPr>
              <a:solidFill>
                <a:srgbClr val="827F77"/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BC2C-44E2-ACB7-066622AA63F1}"/>
              </c:ext>
            </c:extLst>
          </c:dPt>
          <c:dPt>
            <c:idx val="7"/>
            <c:bubble3D val="0"/>
            <c:spPr>
              <a:solidFill>
                <a:srgbClr val="BC5E1E"/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BC2C-44E2-ACB7-066622AA63F1}"/>
              </c:ext>
            </c:extLst>
          </c:dPt>
          <c:dLbls>
            <c:dLbl>
              <c:idx val="1"/>
              <c:layout>
                <c:manualLayout>
                  <c:x val="-2.5137983950089461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2C-44E2-ACB7-066622AA63F1}"/>
                </c:ext>
              </c:extLst>
            </c:dLbl>
            <c:dLbl>
              <c:idx val="7"/>
              <c:layout>
                <c:manualLayout>
                  <c:x val="3.8446573602483776E-2"/>
                  <c:y val="-2.480442589082091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C2C-44E2-ACB7-066622AA63F1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Univers 45 Light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'Data &amp; Chart_Pie Chart (Page 2)'!$A$5:$A$12</c:f>
              <c:strCache>
                <c:ptCount val="8"/>
                <c:pt idx="0">
                  <c:v>LAS</c:v>
                </c:pt>
                <c:pt idx="1">
                  <c:v>ENGR</c:v>
                </c:pt>
                <c:pt idx="2">
                  <c:v>HS</c:v>
                </c:pt>
                <c:pt idx="3">
                  <c:v>CALS</c:v>
                </c:pt>
                <c:pt idx="4">
                  <c:v>BUS</c:v>
                </c:pt>
                <c:pt idx="5">
                  <c:v>DSN</c:v>
                </c:pt>
                <c:pt idx="6">
                  <c:v>VM</c:v>
                </c:pt>
                <c:pt idx="7">
                  <c:v>OTHER</c:v>
                </c:pt>
              </c:strCache>
            </c:strRef>
          </c:cat>
          <c:val>
            <c:numRef>
              <c:f>'Data &amp; Chart_Pie Chart (Page 2)'!$B$5:$B$12</c:f>
              <c:numCache>
                <c:formatCode>???,??0</c:formatCode>
                <c:ptCount val="8"/>
                <c:pt idx="0">
                  <c:v>362923</c:v>
                </c:pt>
                <c:pt idx="1">
                  <c:v>113951</c:v>
                </c:pt>
                <c:pt idx="2">
                  <c:v>85456</c:v>
                </c:pt>
                <c:pt idx="3">
                  <c:v>95237</c:v>
                </c:pt>
                <c:pt idx="4">
                  <c:v>90773</c:v>
                </c:pt>
                <c:pt idx="5">
                  <c:v>49255</c:v>
                </c:pt>
                <c:pt idx="6">
                  <c:v>29840</c:v>
                </c:pt>
                <c:pt idx="7">
                  <c:v>7174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C2C-44E2-ACB7-066622AA6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77634484726695"/>
          <c:y val="0.1884042087684013"/>
          <c:w val="0.80536367875797077"/>
          <c:h val="0.5958905581219148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'Data &amp; Chart_Grad Bar (Page 3)'!$B$5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2BF49"/>
            </a:solidFill>
            <a:ln w="9525">
              <a:solidFill>
                <a:srgbClr val="F2BF49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&amp; Chart_Grad Bar (Page 3)'!$C$4:$S$4</c15:sqref>
                  </c15:fullRef>
                </c:ext>
              </c:extLst>
              <c:f>('Data &amp; Chart_Grad Bar (Page 3)'!$C$4:$L$4,'Data &amp; Chart_Grad Bar (Page 3)'!$O$4:$S$4)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&amp; Chart_Grad Bar (Page 3)'!$C$5:$S$5</c15:sqref>
                  </c15:fullRef>
                </c:ext>
              </c:extLst>
              <c:f>('Data &amp; Chart_Grad Bar (Page 3)'!$C$5:$L$5,'Data &amp; Chart_Grad Bar (Page 3)'!$O$5:$S$5)</c:f>
              <c:numCache>
                <c:formatCode>???,??0</c:formatCode>
                <c:ptCount val="5"/>
                <c:pt idx="0">
                  <c:v>72668</c:v>
                </c:pt>
                <c:pt idx="1">
                  <c:v>72005</c:v>
                </c:pt>
                <c:pt idx="2" formatCode="0">
                  <c:v>69354.989000000001</c:v>
                </c:pt>
                <c:pt idx="3" formatCode="0">
                  <c:v>67708</c:v>
                </c:pt>
                <c:pt idx="4" formatCode="0">
                  <c:v>71113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F9B-9F87-DD8A7C68D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4330848"/>
        <c:axId val="534333984"/>
      </c:barChart>
      <c:catAx>
        <c:axId val="534330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Univers 45 Light" pitchFamily="34" charset="0"/>
                <a:ea typeface="+mn-ea"/>
                <a:cs typeface="+mn-cs"/>
              </a:defRPr>
            </a:pPr>
            <a:endParaRPr lang="en-US"/>
          </a:p>
        </c:txPr>
        <c:crossAx val="534333984"/>
        <c:crosses val="autoZero"/>
        <c:auto val="1"/>
        <c:lblAlgn val="ctr"/>
        <c:lblOffset val="100"/>
        <c:noMultiLvlLbl val="0"/>
      </c:catAx>
      <c:valAx>
        <c:axId val="534333984"/>
        <c:scaling>
          <c:orientation val="minMax"/>
          <c:max val="10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Univers 45 Light" pitchFamily="34" charset="0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Student Credit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Hours </a:t>
                </a:r>
                <a:r>
                  <a:rPr lang="en-US" b="0" i="1" baseline="0">
                    <a:solidFill>
                      <a:sysClr val="windowText" lastClr="000000"/>
                    </a:solidFill>
                  </a:rPr>
                  <a:t>(thousands)</a:t>
                </a:r>
                <a:endParaRPr lang="en-US" b="0" i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36479542625964456"/>
              <c:y val="0.87313954649885128"/>
            </c:manualLayout>
          </c:layout>
          <c:overlay val="0"/>
          <c:spPr>
            <a:noFill/>
            <a:ln w="25400">
              <a:noFill/>
            </a:ln>
          </c:spPr>
        </c:title>
        <c:numFmt formatCode="???,??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Univers 45 Light" pitchFamily="34" charset="0"/>
                <a:ea typeface="+mn-ea"/>
                <a:cs typeface="+mn-cs"/>
              </a:defRPr>
            </a:pPr>
            <a:endParaRPr lang="en-US"/>
          </a:p>
        </c:txPr>
        <c:crossAx val="534330848"/>
        <c:crosses val="autoZero"/>
        <c:crossBetween val="between"/>
        <c:majorUnit val="20000"/>
        <c:dispUnits>
          <c:builtInUnit val="thousands"/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>
          <a:latin typeface="Univers 45 Light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8055110085672E-2"/>
          <c:y val="4.1259973945134962E-2"/>
          <c:w val="0.87093078905649612"/>
          <c:h val="0.63840388786341917"/>
        </c:manualLayout>
      </c:layout>
      <c:lineChart>
        <c:grouping val="standard"/>
        <c:varyColors val="0"/>
        <c:ser>
          <c:idx val="0"/>
          <c:order val="0"/>
          <c:tx>
            <c:strRef>
              <c:f>'Data &amp; Chart_Grad Line (Page 3)'!$B$12</c:f>
              <c:strCache>
                <c:ptCount val="1"/>
                <c:pt idx="0">
                  <c:v>Agriculture and Life Sciences</c:v>
                </c:pt>
              </c:strCache>
            </c:strRef>
          </c:tx>
          <c:spPr>
            <a:ln w="38100" cap="rnd">
              <a:solidFill>
                <a:srgbClr val="076D54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'Data &amp; Chart_Grad Line (Page 3)'!$C$11:$R$11</c15:sqref>
                  </c15:fullRef>
                </c:ext>
              </c:extLst>
              <c:f>'Data &amp; Chart_Grad Line (Page 3)'!$L$11:$R$11</c:f>
              <c:strCache>
                <c:ptCount val="7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  <c:pt idx="5">
                  <c:v>FY2023</c:v>
                </c:pt>
                <c:pt idx="6">
                  <c:v>FY2024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&amp; Chart_Grad Line (Page 3)'!$C$12:$R$12</c15:sqref>
                  </c15:fullRef>
                </c:ext>
              </c:extLst>
              <c:f>'Data &amp; Chart_Grad Line (Page 3)'!$L$12:$R$12</c:f>
              <c:numCache>
                <c:formatCode>???,??0</c:formatCode>
                <c:ptCount val="7"/>
                <c:pt idx="0">
                  <c:v>11736.58</c:v>
                </c:pt>
                <c:pt idx="1">
                  <c:v>11428.314999999999</c:v>
                </c:pt>
                <c:pt idx="2">
                  <c:v>10994</c:v>
                </c:pt>
                <c:pt idx="3">
                  <c:v>10236</c:v>
                </c:pt>
                <c:pt idx="4">
                  <c:v>10180.824000000001</c:v>
                </c:pt>
                <c:pt idx="5">
                  <c:v>9366</c:v>
                </c:pt>
                <c:pt idx="6">
                  <c:v>9594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3-4D35-92B6-27555DAE6B93}"/>
            </c:ext>
          </c:extLst>
        </c:ser>
        <c:ser>
          <c:idx val="1"/>
          <c:order val="1"/>
          <c:tx>
            <c:strRef>
              <c:f>'Data &amp; Chart_Grad Line (Page 3)'!$B$13</c:f>
              <c:strCache>
                <c:ptCount val="1"/>
                <c:pt idx="0">
                  <c:v>Business</c:v>
                </c:pt>
              </c:strCache>
            </c:strRef>
          </c:tx>
          <c:spPr>
            <a:ln w="38100" cap="rnd">
              <a:solidFill>
                <a:srgbClr val="C4B796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'Data &amp; Chart_Grad Line (Page 3)'!$C$11:$R$11</c15:sqref>
                  </c15:fullRef>
                </c:ext>
              </c:extLst>
              <c:f>'Data &amp; Chart_Grad Line (Page 3)'!$L$11:$R$11</c:f>
              <c:strCache>
                <c:ptCount val="7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  <c:pt idx="5">
                  <c:v>FY2023</c:v>
                </c:pt>
                <c:pt idx="6">
                  <c:v>FY2024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&amp; Chart_Grad Line (Page 3)'!$C$13:$R$13</c15:sqref>
                  </c15:fullRef>
                </c:ext>
              </c:extLst>
              <c:f>'Data &amp; Chart_Grad Line (Page 3)'!$L$13:$R$13</c:f>
              <c:numCache>
                <c:formatCode>???,??0</c:formatCode>
                <c:ptCount val="7"/>
                <c:pt idx="0">
                  <c:v>5368.67</c:v>
                </c:pt>
                <c:pt idx="1">
                  <c:v>5236.7</c:v>
                </c:pt>
                <c:pt idx="2">
                  <c:v>5770</c:v>
                </c:pt>
                <c:pt idx="3">
                  <c:v>7595</c:v>
                </c:pt>
                <c:pt idx="4">
                  <c:v>7050</c:v>
                </c:pt>
                <c:pt idx="5">
                  <c:v>7518</c:v>
                </c:pt>
                <c:pt idx="6">
                  <c:v>7586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3-4D35-92B6-27555DAE6B93}"/>
            </c:ext>
          </c:extLst>
        </c:ser>
        <c:ser>
          <c:idx val="2"/>
          <c:order val="2"/>
          <c:tx>
            <c:strRef>
              <c:f>'Data &amp; Chart_Grad Line (Page 3)'!$B$14</c:f>
              <c:strCache>
                <c:ptCount val="1"/>
                <c:pt idx="0">
                  <c:v>Design</c:v>
                </c:pt>
              </c:strCache>
            </c:strRef>
          </c:tx>
          <c:spPr>
            <a:ln w="38100" cap="rnd">
              <a:solidFill>
                <a:srgbClr val="8499A5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'Data &amp; Chart_Grad Line (Page 3)'!$C$11:$R$11</c15:sqref>
                  </c15:fullRef>
                </c:ext>
              </c:extLst>
              <c:f>'Data &amp; Chart_Grad Line (Page 3)'!$L$11:$R$11</c:f>
              <c:strCache>
                <c:ptCount val="7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  <c:pt idx="5">
                  <c:v>FY2023</c:v>
                </c:pt>
                <c:pt idx="6">
                  <c:v>FY2024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&amp; Chart_Grad Line (Page 3)'!$C$14:$R$14</c15:sqref>
                  </c15:fullRef>
                </c:ext>
              </c:extLst>
              <c:f>'Data &amp; Chart_Grad Line (Page 3)'!$L$14:$R$14</c:f>
              <c:numCache>
                <c:formatCode>???,??0</c:formatCode>
                <c:ptCount val="7"/>
                <c:pt idx="0">
                  <c:v>7119.3</c:v>
                </c:pt>
                <c:pt idx="1">
                  <c:v>7217.1360000000004</c:v>
                </c:pt>
                <c:pt idx="2">
                  <c:v>6711</c:v>
                </c:pt>
                <c:pt idx="3">
                  <c:v>6307</c:v>
                </c:pt>
                <c:pt idx="4">
                  <c:v>5985.97</c:v>
                </c:pt>
                <c:pt idx="5">
                  <c:v>6299</c:v>
                </c:pt>
                <c:pt idx="6">
                  <c:v>7007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3-4D35-92B6-27555DAE6B93}"/>
            </c:ext>
          </c:extLst>
        </c:ser>
        <c:ser>
          <c:idx val="3"/>
          <c:order val="3"/>
          <c:tx>
            <c:strRef>
              <c:f>'Data &amp; Chart_Grad Line (Page 3)'!$B$15</c:f>
              <c:strCache>
                <c:ptCount val="1"/>
                <c:pt idx="0">
                  <c:v>Engineering</c:v>
                </c:pt>
              </c:strCache>
            </c:strRef>
          </c:tx>
          <c:spPr>
            <a:ln w="38100" cap="rnd">
              <a:solidFill>
                <a:srgbClr val="CE1126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'Data &amp; Chart_Grad Line (Page 3)'!$C$11:$R$11</c15:sqref>
                  </c15:fullRef>
                </c:ext>
              </c:extLst>
              <c:f>'Data &amp; Chart_Grad Line (Page 3)'!$L$11:$R$11</c:f>
              <c:strCache>
                <c:ptCount val="7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  <c:pt idx="5">
                  <c:v>FY2023</c:v>
                </c:pt>
                <c:pt idx="6">
                  <c:v>FY2024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&amp; Chart_Grad Line (Page 3)'!$C$15:$R$15</c15:sqref>
                  </c15:fullRef>
                </c:ext>
              </c:extLst>
              <c:f>'Data &amp; Chart_Grad Line (Page 3)'!$L$15:$R$15</c:f>
              <c:numCache>
                <c:formatCode>???,??0</c:formatCode>
                <c:ptCount val="7"/>
                <c:pt idx="0">
                  <c:v>21977.260000000002</c:v>
                </c:pt>
                <c:pt idx="1">
                  <c:v>20234.713000000003</c:v>
                </c:pt>
                <c:pt idx="2">
                  <c:v>17047</c:v>
                </c:pt>
                <c:pt idx="3">
                  <c:v>16701</c:v>
                </c:pt>
                <c:pt idx="4">
                  <c:v>15358.508</c:v>
                </c:pt>
                <c:pt idx="5">
                  <c:v>15744</c:v>
                </c:pt>
                <c:pt idx="6">
                  <c:v>18377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3-4D35-92B6-27555DAE6B93}"/>
            </c:ext>
          </c:extLst>
        </c:ser>
        <c:ser>
          <c:idx val="4"/>
          <c:order val="4"/>
          <c:tx>
            <c:strRef>
              <c:f>'Data &amp; Chart_Grad Line (Page 3)'!$B$16</c:f>
              <c:strCache>
                <c:ptCount val="1"/>
                <c:pt idx="0">
                  <c:v>Human Sciences</c:v>
                </c:pt>
              </c:strCache>
            </c:strRef>
          </c:tx>
          <c:spPr>
            <a:ln w="38100" cap="rnd">
              <a:solidFill>
                <a:srgbClr val="3A75C4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'Data &amp; Chart_Grad Line (Page 3)'!$C$11:$R$11</c15:sqref>
                  </c15:fullRef>
                </c:ext>
              </c:extLst>
              <c:f>'Data &amp; Chart_Grad Line (Page 3)'!$L$11:$R$11</c:f>
              <c:strCache>
                <c:ptCount val="7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  <c:pt idx="5">
                  <c:v>FY2023</c:v>
                </c:pt>
                <c:pt idx="6">
                  <c:v>FY2024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&amp; Chart_Grad Line (Page 3)'!$C$16:$R$16</c15:sqref>
                  </c15:fullRef>
                </c:ext>
              </c:extLst>
              <c:f>'Data &amp; Chart_Grad Line (Page 3)'!$L$16:$R$16</c:f>
              <c:numCache>
                <c:formatCode>???,??0</c:formatCode>
                <c:ptCount val="7"/>
                <c:pt idx="0">
                  <c:v>11550.33</c:v>
                </c:pt>
                <c:pt idx="1">
                  <c:v>11639.374</c:v>
                </c:pt>
                <c:pt idx="2">
                  <c:v>10870</c:v>
                </c:pt>
                <c:pt idx="3">
                  <c:v>10258</c:v>
                </c:pt>
                <c:pt idx="4">
                  <c:v>9369.5769999999993</c:v>
                </c:pt>
                <c:pt idx="5">
                  <c:v>8635</c:v>
                </c:pt>
                <c:pt idx="6">
                  <c:v>8648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3E3-4D35-92B6-27555DAE6B93}"/>
            </c:ext>
          </c:extLst>
        </c:ser>
        <c:ser>
          <c:idx val="5"/>
          <c:order val="5"/>
          <c:tx>
            <c:strRef>
              <c:f>'Data &amp; Chart_Grad Line (Page 3)'!$B$17</c:f>
              <c:strCache>
                <c:ptCount val="1"/>
                <c:pt idx="0">
                  <c:v>Liberal Arts and Sciences</c:v>
                </c:pt>
              </c:strCache>
            </c:strRef>
          </c:tx>
          <c:spPr>
            <a:ln w="28575" cap="rnd">
              <a:solidFill>
                <a:srgbClr val="F2BF49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'Data &amp; Chart_Grad Line (Page 3)'!$C$11:$R$11</c15:sqref>
                  </c15:fullRef>
                </c:ext>
              </c:extLst>
              <c:f>'Data &amp; Chart_Grad Line (Page 3)'!$L$11:$R$11</c:f>
              <c:strCache>
                <c:ptCount val="7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  <c:pt idx="5">
                  <c:v>FY2023</c:v>
                </c:pt>
                <c:pt idx="6">
                  <c:v>FY2024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&amp; Chart_Grad Line (Page 3)'!$C$17:$R$17</c15:sqref>
                  </c15:fullRef>
                </c:ext>
              </c:extLst>
              <c:f>'Data &amp; Chart_Grad Line (Page 3)'!$L$17:$R$17</c:f>
              <c:numCache>
                <c:formatCode>???,??0</c:formatCode>
                <c:ptCount val="7"/>
                <c:pt idx="0">
                  <c:v>22181.35</c:v>
                </c:pt>
                <c:pt idx="1">
                  <c:v>21082.989999999998</c:v>
                </c:pt>
                <c:pt idx="2">
                  <c:v>20639</c:v>
                </c:pt>
                <c:pt idx="3">
                  <c:v>20258</c:v>
                </c:pt>
                <c:pt idx="4">
                  <c:v>20835.315999999999</c:v>
                </c:pt>
                <c:pt idx="5">
                  <c:v>19696</c:v>
                </c:pt>
                <c:pt idx="6">
                  <c:v>19388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3E3-4D35-92B6-27555DAE6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814224"/>
        <c:axId val="532813440"/>
      </c:lineChart>
      <c:catAx>
        <c:axId val="53281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Univers 45 Light" pitchFamily="34" charset="0"/>
                <a:ea typeface="+mn-ea"/>
                <a:cs typeface="+mn-cs"/>
              </a:defRPr>
            </a:pPr>
            <a:endParaRPr lang="en-US"/>
          </a:p>
        </c:txPr>
        <c:crossAx val="532813440"/>
        <c:crosses val="autoZero"/>
        <c:auto val="1"/>
        <c:lblAlgn val="ctr"/>
        <c:lblOffset val="100"/>
        <c:noMultiLvlLbl val="0"/>
      </c:catAx>
      <c:valAx>
        <c:axId val="532813440"/>
        <c:scaling>
          <c:orientation val="minMax"/>
          <c:max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???,??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Univers 45 Light" pitchFamily="34" charset="0"/>
                <a:ea typeface="+mn-ea"/>
                <a:cs typeface="+mn-cs"/>
              </a:defRPr>
            </a:pPr>
            <a:endParaRPr lang="en-US"/>
          </a:p>
        </c:txPr>
        <c:crossAx val="532814224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4252643762324131E-2"/>
          <c:y val="0.75059810110798963"/>
          <c:w val="0.51140683657696839"/>
          <c:h val="0.2222299857062511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>
          <a:latin typeface="Univers 45 Light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53593766431472"/>
          <c:y val="8.5329967163609646E-2"/>
          <c:w val="0.82830705132378202"/>
          <c:h val="0.46093836169884228"/>
        </c:manualLayout>
      </c:layout>
      <c:lineChart>
        <c:grouping val="standard"/>
        <c:varyColors val="0"/>
        <c:ser>
          <c:idx val="0"/>
          <c:order val="0"/>
          <c:tx>
            <c:strRef>
              <c:f>'Data &amp; Chart_UG Line (Page 2)'!$B$4</c:f>
              <c:strCache>
                <c:ptCount val="1"/>
                <c:pt idx="0">
                  <c:v>Agriculture and Life Sciences</c:v>
                </c:pt>
              </c:strCache>
            </c:strRef>
          </c:tx>
          <c:spPr>
            <a:ln w="38100" cap="rnd">
              <a:solidFill>
                <a:srgbClr val="076D54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'Data &amp; Chart_UG Line (Page 2)'!$C$3:$R$3</c15:sqref>
                  </c15:fullRef>
                </c:ext>
              </c:extLst>
              <c:f>('Data &amp; Chart_UG Line (Page 2)'!$C$3:$F$3,'Data &amp; Chart_UG Line (Page 2)'!$L$3:$R$3)</c:f>
              <c:strCache>
                <c:ptCount val="7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  <c:pt idx="5">
                  <c:v>FY2023</c:v>
                </c:pt>
                <c:pt idx="6">
                  <c:v>FY2024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&amp; Chart_UG Line (Page 2)'!$C$4:$R$4</c15:sqref>
                  </c15:fullRef>
                </c:ext>
              </c:extLst>
              <c:f>('Data &amp; Chart_UG Line (Page 2)'!$C$4:$F$4,'Data &amp; Chart_UG Line (Page 2)'!$L$4:$R$4)</c:f>
              <c:numCache>
                <c:formatCode>???,??0</c:formatCode>
                <c:ptCount val="7"/>
                <c:pt idx="0">
                  <c:v>97091.829999999987</c:v>
                </c:pt>
                <c:pt idx="1">
                  <c:v>95139.661999999997</c:v>
                </c:pt>
                <c:pt idx="2">
                  <c:v>94617</c:v>
                </c:pt>
                <c:pt idx="3">
                  <c:v>90907</c:v>
                </c:pt>
                <c:pt idx="4">
                  <c:v>88835.255999999994</c:v>
                </c:pt>
                <c:pt idx="5">
                  <c:v>87149</c:v>
                </c:pt>
                <c:pt idx="6">
                  <c:v>85597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6D-4EB6-95DD-24C9E029DBB3}"/>
            </c:ext>
          </c:extLst>
        </c:ser>
        <c:ser>
          <c:idx val="1"/>
          <c:order val="1"/>
          <c:tx>
            <c:strRef>
              <c:f>'Data &amp; Chart_UG Line (Page 2)'!$B$5</c:f>
              <c:strCache>
                <c:ptCount val="1"/>
                <c:pt idx="0">
                  <c:v>Business</c:v>
                </c:pt>
              </c:strCache>
            </c:strRef>
          </c:tx>
          <c:spPr>
            <a:ln w="38100" cap="rnd">
              <a:solidFill>
                <a:srgbClr val="C4B796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'Data &amp; Chart_UG Line (Page 2)'!$C$3:$R$3</c15:sqref>
                  </c15:fullRef>
                </c:ext>
              </c:extLst>
              <c:f>('Data &amp; Chart_UG Line (Page 2)'!$C$3:$F$3,'Data &amp; Chart_UG Line (Page 2)'!$L$3:$R$3)</c:f>
              <c:strCache>
                <c:ptCount val="7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  <c:pt idx="5">
                  <c:v>FY2023</c:v>
                </c:pt>
                <c:pt idx="6">
                  <c:v>FY2024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&amp; Chart_UG Line (Page 2)'!$C$5:$R$5</c15:sqref>
                  </c15:fullRef>
                </c:ext>
              </c:extLst>
              <c:f>('Data &amp; Chart_UG Line (Page 2)'!$C$5:$F$5,'Data &amp; Chart_UG Line (Page 2)'!$L$5:$R$5)</c:f>
              <c:numCache>
                <c:formatCode>???,??0</c:formatCode>
                <c:ptCount val="7"/>
                <c:pt idx="0">
                  <c:v>83665.5</c:v>
                </c:pt>
                <c:pt idx="1">
                  <c:v>84827.7</c:v>
                </c:pt>
                <c:pt idx="2">
                  <c:v>82054</c:v>
                </c:pt>
                <c:pt idx="3">
                  <c:v>85094</c:v>
                </c:pt>
                <c:pt idx="4">
                  <c:v>78922</c:v>
                </c:pt>
                <c:pt idx="5">
                  <c:v>75887</c:v>
                </c:pt>
                <c:pt idx="6">
                  <c:v>83187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6D-4EB6-95DD-24C9E029DBB3}"/>
            </c:ext>
          </c:extLst>
        </c:ser>
        <c:ser>
          <c:idx val="2"/>
          <c:order val="2"/>
          <c:tx>
            <c:strRef>
              <c:f>'Data &amp; Chart_UG Line (Page 2)'!$B$6</c:f>
              <c:strCache>
                <c:ptCount val="1"/>
                <c:pt idx="0">
                  <c:v>Design</c:v>
                </c:pt>
              </c:strCache>
            </c:strRef>
          </c:tx>
          <c:spPr>
            <a:ln w="28575" cap="rnd">
              <a:solidFill>
                <a:srgbClr val="8499A5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'Data &amp; Chart_UG Line (Page 2)'!$C$3:$R$3</c15:sqref>
                  </c15:fullRef>
                </c:ext>
              </c:extLst>
              <c:f>('Data &amp; Chart_UG Line (Page 2)'!$C$3:$F$3,'Data &amp; Chart_UG Line (Page 2)'!$L$3:$R$3)</c:f>
              <c:strCache>
                <c:ptCount val="7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  <c:pt idx="5">
                  <c:v>FY2023</c:v>
                </c:pt>
                <c:pt idx="6">
                  <c:v>FY2024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&amp; Chart_UG Line (Page 2)'!$C$6:$R$6</c15:sqref>
                  </c15:fullRef>
                </c:ext>
              </c:extLst>
              <c:f>('Data &amp; Chart_UG Line (Page 2)'!$C$6:$F$6,'Data &amp; Chart_UG Line (Page 2)'!$L$6:$R$6)</c:f>
              <c:numCache>
                <c:formatCode>???,??0</c:formatCode>
                <c:ptCount val="7"/>
                <c:pt idx="0">
                  <c:v>39849.25</c:v>
                </c:pt>
                <c:pt idx="1">
                  <c:v>38176.43</c:v>
                </c:pt>
                <c:pt idx="2">
                  <c:v>39094</c:v>
                </c:pt>
                <c:pt idx="3">
                  <c:v>39146</c:v>
                </c:pt>
                <c:pt idx="4">
                  <c:v>40125.620000000003</c:v>
                </c:pt>
                <c:pt idx="5">
                  <c:v>40491</c:v>
                </c:pt>
                <c:pt idx="6">
                  <c:v>42248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6D-4EB6-95DD-24C9E029DBB3}"/>
            </c:ext>
          </c:extLst>
        </c:ser>
        <c:ser>
          <c:idx val="3"/>
          <c:order val="3"/>
          <c:tx>
            <c:strRef>
              <c:f>'Data &amp; Chart_UG Line (Page 2)'!$B$7</c:f>
              <c:strCache>
                <c:ptCount val="1"/>
                <c:pt idx="0">
                  <c:v>Engineering</c:v>
                </c:pt>
              </c:strCache>
            </c:strRef>
          </c:tx>
          <c:spPr>
            <a:ln w="38100" cap="rnd">
              <a:solidFill>
                <a:srgbClr val="CE1126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'Data &amp; Chart_UG Line (Page 2)'!$C$3:$R$3</c15:sqref>
                  </c15:fullRef>
                </c:ext>
              </c:extLst>
              <c:f>('Data &amp; Chart_UG Line (Page 2)'!$C$3:$F$3,'Data &amp; Chart_UG Line (Page 2)'!$L$3:$R$3)</c:f>
              <c:strCache>
                <c:ptCount val="7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  <c:pt idx="5">
                  <c:v>FY2023</c:v>
                </c:pt>
                <c:pt idx="6">
                  <c:v>FY2024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&amp; Chart_UG Line (Page 2)'!$C$7:$R$7</c15:sqref>
                  </c15:fullRef>
                </c:ext>
              </c:extLst>
              <c:f>('Data &amp; Chart_UG Line (Page 2)'!$C$7:$F$7,'Data &amp; Chart_UG Line (Page 2)'!$L$7:$R$7)</c:f>
              <c:numCache>
                <c:formatCode>???,??0</c:formatCode>
                <c:ptCount val="7"/>
                <c:pt idx="0">
                  <c:v>118103.75</c:v>
                </c:pt>
                <c:pt idx="1">
                  <c:v>119302.995</c:v>
                </c:pt>
                <c:pt idx="2">
                  <c:v>112407</c:v>
                </c:pt>
                <c:pt idx="3">
                  <c:v>109468</c:v>
                </c:pt>
                <c:pt idx="4">
                  <c:v>96788.880999999994</c:v>
                </c:pt>
                <c:pt idx="5">
                  <c:v>93181</c:v>
                </c:pt>
                <c:pt idx="6">
                  <c:v>95574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6D-4EB6-95DD-24C9E029DBB3}"/>
            </c:ext>
          </c:extLst>
        </c:ser>
        <c:ser>
          <c:idx val="4"/>
          <c:order val="4"/>
          <c:tx>
            <c:strRef>
              <c:f>'Data &amp; Chart_UG Line (Page 2)'!$B$8</c:f>
              <c:strCache>
                <c:ptCount val="1"/>
                <c:pt idx="0">
                  <c:v>Human Sciences</c:v>
                </c:pt>
              </c:strCache>
            </c:strRef>
          </c:tx>
          <c:spPr>
            <a:ln w="38100" cap="rnd">
              <a:solidFill>
                <a:srgbClr val="3A75C4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'Data &amp; Chart_UG Line (Page 2)'!$C$3:$R$3</c15:sqref>
                  </c15:fullRef>
                </c:ext>
              </c:extLst>
              <c:f>('Data &amp; Chart_UG Line (Page 2)'!$C$3:$F$3,'Data &amp; Chart_UG Line (Page 2)'!$L$3:$R$3)</c:f>
              <c:strCache>
                <c:ptCount val="7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  <c:pt idx="5">
                  <c:v>FY2023</c:v>
                </c:pt>
                <c:pt idx="6">
                  <c:v>FY2024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&amp; Chart_UG Line (Page 2)'!$C$8:$R$8</c15:sqref>
                  </c15:fullRef>
                </c:ext>
              </c:extLst>
              <c:f>('Data &amp; Chart_UG Line (Page 2)'!$C$8:$F$8,'Data &amp; Chart_UG Line (Page 2)'!$L$8:$R$8)</c:f>
              <c:numCache>
                <c:formatCode>???,??0</c:formatCode>
                <c:ptCount val="7"/>
                <c:pt idx="0">
                  <c:v>99386.97</c:v>
                </c:pt>
                <c:pt idx="1">
                  <c:v>95130.21100000001</c:v>
                </c:pt>
                <c:pt idx="2">
                  <c:v>90174</c:v>
                </c:pt>
                <c:pt idx="3">
                  <c:v>84737</c:v>
                </c:pt>
                <c:pt idx="4">
                  <c:v>79211.194000000003</c:v>
                </c:pt>
                <c:pt idx="5">
                  <c:v>77027</c:v>
                </c:pt>
                <c:pt idx="6">
                  <c:v>76808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46D-4EB6-95DD-24C9E029D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815400"/>
        <c:axId val="532815008"/>
      </c:lineChart>
      <c:catAx>
        <c:axId val="532815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Univers 45 Light" pitchFamily="34" charset="0"/>
                <a:ea typeface="+mn-ea"/>
                <a:cs typeface="+mn-cs"/>
              </a:defRPr>
            </a:pPr>
            <a:endParaRPr lang="en-US"/>
          </a:p>
        </c:txPr>
        <c:crossAx val="532815008"/>
        <c:crosses val="autoZero"/>
        <c:auto val="1"/>
        <c:lblAlgn val="ctr"/>
        <c:lblOffset val="100"/>
        <c:noMultiLvlLbl val="0"/>
      </c:catAx>
      <c:valAx>
        <c:axId val="532815008"/>
        <c:scaling>
          <c:orientation val="minMax"/>
          <c:max val="1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???,??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Univers 45 Light" pitchFamily="34" charset="0"/>
                <a:ea typeface="+mn-ea"/>
                <a:cs typeface="+mn-cs"/>
              </a:defRPr>
            </a:pPr>
            <a:endParaRPr lang="en-US"/>
          </a:p>
        </c:txPr>
        <c:crossAx val="532815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841738848862625"/>
          <c:y val="0.66278596656925082"/>
          <c:w val="0.406599780423895"/>
          <c:h val="0.33537860213094678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>
          <a:latin typeface="Univers 45 Light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54685664291963"/>
          <c:y val="4.0153481918739006E-2"/>
          <c:w val="0.83468526434195722"/>
          <c:h val="0.77780557603261224"/>
        </c:manualLayout>
      </c:layout>
      <c:lineChart>
        <c:grouping val="standard"/>
        <c:varyColors val="0"/>
        <c:ser>
          <c:idx val="0"/>
          <c:order val="0"/>
          <c:tx>
            <c:strRef>
              <c:f>'Data &amp; Chart_UG Line (Page 2)'!$B$9</c:f>
              <c:strCache>
                <c:ptCount val="1"/>
                <c:pt idx="0">
                  <c:v>Liberal Arts and Sciences</c:v>
                </c:pt>
              </c:strCache>
            </c:strRef>
          </c:tx>
          <c:spPr>
            <a:ln w="38100" cap="rnd">
              <a:solidFill>
                <a:srgbClr val="F2BF49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'Data &amp; Chart_UG Line (Page 2)'!$C$3:$R$3</c15:sqref>
                  </c15:fullRef>
                </c:ext>
              </c:extLst>
              <c:f>('Data &amp; Chart_UG Line (Page 2)'!$C$3:$F$3,'Data &amp; Chart_UG Line (Page 2)'!$L$3:$R$3)</c:f>
              <c:strCache>
                <c:ptCount val="7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  <c:pt idx="5">
                  <c:v>FY2023</c:v>
                </c:pt>
                <c:pt idx="6">
                  <c:v>FY2024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&amp; Chart_UG Line (Page 2)'!$C$9:$R$9</c15:sqref>
                  </c15:fullRef>
                </c:ext>
              </c:extLst>
              <c:f>('Data &amp; Chart_UG Line (Page 2)'!$C$9:$F$9,'Data &amp; Chart_UG Line (Page 2)'!$L$9:$R$9)</c:f>
              <c:numCache>
                <c:formatCode>???,??0</c:formatCode>
                <c:ptCount val="7"/>
                <c:pt idx="0">
                  <c:v>433996.53</c:v>
                </c:pt>
                <c:pt idx="1">
                  <c:v>419555.12299999996</c:v>
                </c:pt>
                <c:pt idx="2">
                  <c:v>394155</c:v>
                </c:pt>
                <c:pt idx="3">
                  <c:v>372317</c:v>
                </c:pt>
                <c:pt idx="4">
                  <c:v>347248.81699999998</c:v>
                </c:pt>
                <c:pt idx="5">
                  <c:v>344809</c:v>
                </c:pt>
                <c:pt idx="6">
                  <c:v>343531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1A-4C5F-B53D-977FCB963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819320"/>
        <c:axId val="532813048"/>
      </c:lineChart>
      <c:catAx>
        <c:axId val="532819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rgbClr val="D9D9D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bg1"/>
                </a:solidFill>
                <a:latin typeface="Univers 45 Light" pitchFamily="34" charset="0"/>
                <a:ea typeface="+mn-ea"/>
                <a:cs typeface="+mn-cs"/>
              </a:defRPr>
            </a:pPr>
            <a:endParaRPr lang="en-US"/>
          </a:p>
        </c:txPr>
        <c:crossAx val="532813048"/>
        <c:crosses val="autoZero"/>
        <c:auto val="1"/>
        <c:lblAlgn val="ctr"/>
        <c:lblOffset val="100"/>
        <c:noMultiLvlLbl val="0"/>
      </c:catAx>
      <c:valAx>
        <c:axId val="532813048"/>
        <c:scaling>
          <c:orientation val="minMax"/>
          <c:max val="460000"/>
          <c:min val="320000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???,??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Univers 45 Light" pitchFamily="34" charset="0"/>
                <a:ea typeface="+mn-ea"/>
                <a:cs typeface="+mn-cs"/>
              </a:defRPr>
            </a:pPr>
            <a:endParaRPr lang="en-US"/>
          </a:p>
        </c:txPr>
        <c:crossAx val="532819320"/>
        <c:crosses val="autoZero"/>
        <c:crossBetween val="between"/>
        <c:majorUnit val="2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>
          <a:latin typeface="Univers 45 Light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Univers 45 Light" pitchFamily="34" charset="0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  <a:latin typeface="Univers 45 Light" pitchFamily="34" charset="0"/>
              </a:rPr>
              <a:t>Total Undergraduate SCH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60409360594632"/>
          <c:y val="0.1651063829787234"/>
          <c:w val="0.82253036017556624"/>
          <c:h val="0.57809445950403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'Data &amp; Chart_UG Bar (Page 2)'!$B$2</c:f>
              <c:strCache>
                <c:ptCount val="1"/>
                <c:pt idx="0">
                  <c:v>Total SCH</c:v>
                </c:pt>
              </c:strCache>
            </c:strRef>
          </c:tx>
          <c:spPr>
            <a:solidFill>
              <a:srgbClr val="FF0000"/>
            </a:solidFill>
            <a:ln w="9525">
              <a:solidFill>
                <a:srgbClr val="F2BF49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&amp; Chart_UG Bar (Page 2)'!$C$1:$S$1</c15:sqref>
                  </c15:fullRef>
                </c:ext>
              </c:extLst>
              <c:f>('Data &amp; Chart_UG Bar (Page 2)'!$C$1:$L$1,'Data &amp; Chart_UG Bar (Page 2)'!$O$1:$S$1)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&amp; Chart_UG Bar (Page 2)'!$C$2:$S$2</c15:sqref>
                  </c15:fullRef>
                </c:ext>
              </c:extLst>
              <c:f>('Data &amp; Chart_UG Bar (Page 2)'!$C$2:$L$2,'Data &amp; Chart_UG Bar (Page 2)'!$O$2:$S$2)</c:f>
              <c:numCache>
                <c:formatCode>???,??0</c:formatCode>
                <c:ptCount val="5"/>
                <c:pt idx="0">
                  <c:v>820850</c:v>
                </c:pt>
                <c:pt idx="1">
                  <c:v>789488</c:v>
                </c:pt>
                <c:pt idx="2">
                  <c:v>739474.04799999995</c:v>
                </c:pt>
                <c:pt idx="3">
                  <c:v>726716</c:v>
                </c:pt>
                <c:pt idx="4">
                  <c:v>735093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6A-407A-BEFC-A6CF584C5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2594712"/>
        <c:axId val="172595888"/>
      </c:barChart>
      <c:catAx>
        <c:axId val="172594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Univers 45 Light" pitchFamily="34" charset="0"/>
                <a:ea typeface="+mn-ea"/>
                <a:cs typeface="+mn-cs"/>
              </a:defRPr>
            </a:pPr>
            <a:endParaRPr lang="en-US"/>
          </a:p>
        </c:txPr>
        <c:crossAx val="172595888"/>
        <c:crosses val="autoZero"/>
        <c:auto val="1"/>
        <c:lblAlgn val="ctr"/>
        <c:lblOffset val="100"/>
        <c:noMultiLvlLbl val="0"/>
      </c:catAx>
      <c:valAx>
        <c:axId val="172595888"/>
        <c:scaling>
          <c:orientation val="minMax"/>
          <c:max val="90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Univers 45 Light" pitchFamily="34" charset="0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Student Credit</a:t>
                </a:r>
                <a:r>
                  <a:rPr lang="en-US" b="1" baseline="0">
                    <a:solidFill>
                      <a:schemeClr val="tx1"/>
                    </a:solidFill>
                  </a:rPr>
                  <a:t> Hours</a:t>
                </a:r>
                <a:r>
                  <a:rPr lang="en-US" b="0" i="1" baseline="0">
                    <a:solidFill>
                      <a:schemeClr val="tx1"/>
                    </a:solidFill>
                  </a:rPr>
                  <a:t> </a:t>
                </a:r>
                <a:r>
                  <a:rPr lang="en-US" b="1" baseline="0">
                    <a:solidFill>
                      <a:schemeClr val="tx1"/>
                    </a:solidFill>
                  </a:rPr>
                  <a:t>(</a:t>
                </a:r>
                <a:r>
                  <a:rPr lang="en-US" b="0" i="1" baseline="0">
                    <a:solidFill>
                      <a:schemeClr val="tx1"/>
                    </a:solidFill>
                  </a:rPr>
                  <a:t>thousands)</a:t>
                </a:r>
                <a:endParaRPr lang="en-US" b="0" i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36664473041040918"/>
              <c:y val="0.85309180614718239"/>
            </c:manualLayout>
          </c:layout>
          <c:overlay val="0"/>
          <c:spPr>
            <a:noFill/>
            <a:ln w="25400">
              <a:noFill/>
            </a:ln>
          </c:spPr>
        </c:title>
        <c:numFmt formatCode="???,??0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Univers 45 Light" pitchFamily="34" charset="0"/>
                <a:ea typeface="+mn-ea"/>
                <a:cs typeface="+mn-cs"/>
              </a:defRPr>
            </a:pPr>
            <a:endParaRPr lang="en-US"/>
          </a:p>
        </c:txPr>
        <c:crossAx val="172594712"/>
        <c:crosses val="autoZero"/>
        <c:crossBetween val="between"/>
        <c:majorUnit val="90000"/>
        <c:dispUnits>
          <c:builtInUnit val="thousands"/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>
          <a:latin typeface="Univers 45 Light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latin typeface="Univers 45 Light" pitchFamily="34" charset="0"/>
              </a:rPr>
              <a:t>Tota</a:t>
            </a:r>
            <a:r>
              <a:rPr lang="en-US" sz="1600" b="1" baseline="0">
                <a:latin typeface="Univers 45 Light" pitchFamily="34" charset="0"/>
              </a:rPr>
              <a:t>l Student Credit Hours by College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sz="1600">
              <a:effectLst/>
            </a:endParaRPr>
          </a:p>
        </c:rich>
      </c:tx>
      <c:layout>
        <c:manualLayout>
          <c:xMode val="edge"/>
          <c:yMode val="edge"/>
          <c:x val="0.20294181977252843"/>
          <c:y val="2.480837902852276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322899209816325"/>
          <c:y val="0.24513797825922617"/>
          <c:w val="0.47012527560282102"/>
          <c:h val="0.57628689072419947"/>
        </c:manualLayout>
      </c:layout>
      <c:pieChart>
        <c:varyColors val="1"/>
        <c:ser>
          <c:idx val="0"/>
          <c:order val="0"/>
          <c:tx>
            <c:strRef>
              <c:f>'Data &amp; Chart_Pie Chart (Page 2)'!$B$4</c:f>
              <c:strCache>
                <c:ptCount val="1"/>
                <c:pt idx="0">
                  <c:v>FY2024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2BF49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80-4BBF-A5D9-F71E9F13D326}"/>
              </c:ext>
            </c:extLst>
          </c:dPt>
          <c:dPt>
            <c:idx val="1"/>
            <c:bubble3D val="0"/>
            <c:spPr>
              <a:solidFill>
                <a:srgbClr val="CE112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80-4BBF-A5D9-F71E9F13D326}"/>
              </c:ext>
            </c:extLst>
          </c:dPt>
          <c:dPt>
            <c:idx val="2"/>
            <c:bubble3D val="0"/>
            <c:spPr>
              <a:solidFill>
                <a:srgbClr val="3A75C4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80-4BBF-A5D9-F71E9F13D326}"/>
              </c:ext>
            </c:extLst>
          </c:dPt>
          <c:dPt>
            <c:idx val="3"/>
            <c:bubble3D val="0"/>
            <c:spPr>
              <a:solidFill>
                <a:srgbClr val="076D54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80-4BBF-A5D9-F71E9F13D326}"/>
              </c:ext>
            </c:extLst>
          </c:dPt>
          <c:dPt>
            <c:idx val="4"/>
            <c:bubble3D val="0"/>
            <c:spPr>
              <a:solidFill>
                <a:srgbClr val="C4B79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80-4BBF-A5D9-F71E9F13D326}"/>
              </c:ext>
            </c:extLst>
          </c:dPt>
          <c:dPt>
            <c:idx val="5"/>
            <c:bubble3D val="0"/>
            <c:spPr>
              <a:solidFill>
                <a:srgbClr val="8499A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80-4BBF-A5D9-F71E9F13D32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A980-4BBF-A5D9-F71E9F13D32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D-A980-4BBF-A5D9-F71E9F13D326}"/>
              </c:ext>
            </c:extLst>
          </c:dPt>
          <c:dLbls>
            <c:dLbl>
              <c:idx val="0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80-4BBF-A5D9-F71E9F13D326}"/>
                </c:ext>
              </c:extLst>
            </c:dLbl>
            <c:dLbl>
              <c:idx val="6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980-4BBF-A5D9-F71E9F13D326}"/>
                </c:ext>
              </c:extLst>
            </c:dLbl>
            <c:dLbl>
              <c:idx val="7"/>
              <c:layout>
                <c:manualLayout>
                  <c:x val="3.8446573602483776E-2"/>
                  <c:y val="-2.480442589082091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980-4BBF-A5D9-F71E9F13D326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Univers 45 Light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'Data &amp; Chart_Pie Chart (Page 2)'!$A$5:$A$12</c:f>
              <c:strCache>
                <c:ptCount val="8"/>
                <c:pt idx="0">
                  <c:v>LAS</c:v>
                </c:pt>
                <c:pt idx="1">
                  <c:v>ENGR</c:v>
                </c:pt>
                <c:pt idx="2">
                  <c:v>HS</c:v>
                </c:pt>
                <c:pt idx="3">
                  <c:v>CALS</c:v>
                </c:pt>
                <c:pt idx="4">
                  <c:v>BUS</c:v>
                </c:pt>
                <c:pt idx="5">
                  <c:v>DSN</c:v>
                </c:pt>
                <c:pt idx="6">
                  <c:v>VM</c:v>
                </c:pt>
                <c:pt idx="7">
                  <c:v>OTHER</c:v>
                </c:pt>
              </c:strCache>
            </c:strRef>
          </c:cat>
          <c:val>
            <c:numRef>
              <c:f>'Data &amp; Chart_Pie Chart (Page 2)'!$B$5:$B$12</c:f>
              <c:numCache>
                <c:formatCode>???,??0</c:formatCode>
                <c:ptCount val="8"/>
                <c:pt idx="0">
                  <c:v>362923</c:v>
                </c:pt>
                <c:pt idx="1">
                  <c:v>113951</c:v>
                </c:pt>
                <c:pt idx="2">
                  <c:v>85456</c:v>
                </c:pt>
                <c:pt idx="3">
                  <c:v>95237</c:v>
                </c:pt>
                <c:pt idx="4">
                  <c:v>90773</c:v>
                </c:pt>
                <c:pt idx="5">
                  <c:v>49255</c:v>
                </c:pt>
                <c:pt idx="6">
                  <c:v>29840</c:v>
                </c:pt>
                <c:pt idx="7">
                  <c:v>7174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980-4BBF-A5D9-F71E9F13D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9525</xdr:colOff>
      <xdr:row>0</xdr:row>
      <xdr:rowOff>0</xdr:rowOff>
    </xdr:to>
    <xdr:sp macro="" textlink="">
      <xdr:nvSpPr>
        <xdr:cNvPr id="1030" name="Text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763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nivers 75 Black"/>
            </a:rPr>
            <a:t>Financial Report</a:t>
          </a: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nivers 75 Black"/>
            </a:rPr>
            <a:t>Second Liny of Text</a:t>
          </a:r>
        </a:p>
      </xdr:txBody>
    </xdr:sp>
    <xdr:clientData/>
  </xdr:twoCellAnchor>
  <xdr:twoCellAnchor>
    <xdr:from>
      <xdr:col>37</xdr:col>
      <xdr:colOff>4879</xdr:colOff>
      <xdr:row>0</xdr:row>
      <xdr:rowOff>79374</xdr:rowOff>
    </xdr:from>
    <xdr:to>
      <xdr:col>45</xdr:col>
      <xdr:colOff>671629</xdr:colOff>
      <xdr:row>1</xdr:row>
      <xdr:rowOff>1587</xdr:rowOff>
    </xdr:to>
    <xdr:grpSp>
      <xdr:nvGrpSpPr>
        <xdr:cNvPr id="1926" name="Group 1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GrpSpPr>
          <a:grpSpLocks/>
        </xdr:cNvGrpSpPr>
      </xdr:nvGrpSpPr>
      <xdr:grpSpPr bwMode="auto">
        <a:xfrm>
          <a:off x="6725296" y="79374"/>
          <a:ext cx="6491816" cy="112713"/>
          <a:chOff x="6413256" y="43289"/>
          <a:chExt cx="6057168" cy="113593"/>
        </a:xfrm>
      </xdr:grpSpPr>
      <xdr:sp macro="" textlink="">
        <xdr:nvSpPr>
          <xdr:cNvPr id="11" name="Line 19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6413256" y="156882"/>
            <a:ext cx="6057168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ffectLst>
            <a:outerShdw blurRad="50800" dist="50800" dir="5400000" algn="ctr" rotWithShape="0">
              <a:schemeClr val="bg1"/>
            </a:outerShdw>
          </a:effectLst>
        </xdr:spPr>
        <xdr:txBody>
          <a:bodyPr/>
          <a:lstStyle/>
          <a:p>
            <a:endParaRPr lang="en-US"/>
          </a:p>
        </xdr:txBody>
      </xdr:sp>
      <xdr:pic>
        <xdr:nvPicPr>
          <xdr:cNvPr id="1944" name="Picture 18">
            <a:extLst>
              <a:ext uri="{FF2B5EF4-FFF2-40B4-BE49-F238E27FC236}">
                <a16:creationId xmlns:a16="http://schemas.microsoft.com/office/drawing/2014/main" id="{00000000-0008-0000-0000-00009807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466093" y="43289"/>
            <a:ext cx="899687" cy="768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36</xdr:col>
      <xdr:colOff>933450</xdr:colOff>
      <xdr:row>2</xdr:row>
      <xdr:rowOff>19050</xdr:rowOff>
    </xdr:from>
    <xdr:to>
      <xdr:col>44</xdr:col>
      <xdr:colOff>742950</xdr:colOff>
      <xdr:row>19</xdr:row>
      <xdr:rowOff>129540</xdr:rowOff>
    </xdr:to>
    <xdr:graphicFrame macro="">
      <xdr:nvGraphicFramePr>
        <xdr:cNvPr id="1927" name="Chart 9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79375</xdr:rowOff>
    </xdr:from>
    <xdr:to>
      <xdr:col>36</xdr:col>
      <xdr:colOff>1025652</xdr:colOff>
      <xdr:row>1</xdr:row>
      <xdr:rowOff>1588</xdr:rowOff>
    </xdr:to>
    <xdr:grpSp>
      <xdr:nvGrpSpPr>
        <xdr:cNvPr id="31" name="Group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0" y="79375"/>
          <a:ext cx="6698319" cy="112713"/>
          <a:chOff x="6413256" y="43289"/>
          <a:chExt cx="6124231" cy="113593"/>
        </a:xfrm>
      </xdr:grpSpPr>
      <xdr:sp macro="" textlink="">
        <xdr:nvSpPr>
          <xdr:cNvPr id="32" name="Line 19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6413256" y="156882"/>
            <a:ext cx="6124231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ffectLst>
            <a:outerShdw blurRad="50800" dist="50800" dir="5400000" algn="ctr" rotWithShape="0">
              <a:schemeClr val="bg1"/>
            </a:outerShdw>
          </a:effectLst>
        </xdr:spPr>
        <xdr:txBody>
          <a:bodyPr/>
          <a:lstStyle/>
          <a:p>
            <a:endParaRPr lang="en-US"/>
          </a:p>
        </xdr:txBody>
      </xdr:sp>
      <xdr:pic>
        <xdr:nvPicPr>
          <xdr:cNvPr id="33" name="Picture 18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456859" y="43289"/>
            <a:ext cx="899687" cy="768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46</xdr:col>
      <xdr:colOff>1891</xdr:colOff>
      <xdr:row>5</xdr:row>
      <xdr:rowOff>166766</xdr:rowOff>
    </xdr:from>
    <xdr:to>
      <xdr:col>53</xdr:col>
      <xdr:colOff>1028700</xdr:colOff>
      <xdr:row>29</xdr:row>
      <xdr:rowOff>19049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13220474" y="1098099"/>
          <a:ext cx="6678309" cy="2752117"/>
          <a:chOff x="9801338" y="3827282"/>
          <a:chExt cx="3000375" cy="5608037"/>
        </a:xfrm>
      </xdr:grpSpPr>
      <xdr:graphicFrame macro="">
        <xdr:nvGraphicFramePr>
          <xdr:cNvPr id="1929" name="Chart 16">
            <a:extLst>
              <a:ext uri="{FF2B5EF4-FFF2-40B4-BE49-F238E27FC236}">
                <a16:creationId xmlns:a16="http://schemas.microsoft.com/office/drawing/2014/main" id="{00000000-0008-0000-0000-000089070000}"/>
              </a:ext>
            </a:extLst>
          </xdr:cNvPr>
          <xdr:cNvGraphicFramePr>
            <a:graphicFrameLocks/>
          </xdr:cNvGraphicFramePr>
        </xdr:nvGraphicFramePr>
        <xdr:xfrm>
          <a:off x="9801338" y="3886460"/>
          <a:ext cx="3000375" cy="554885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>
            <a:off x="9803789" y="3827282"/>
            <a:ext cx="2978979" cy="96607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 rtl="0"/>
            <a:r>
              <a:rPr lang="en-US" sz="1400" b="1" i="0" baseline="0">
                <a:solidFill>
                  <a:sysClr val="windowText" lastClr="000000"/>
                </a:solidFill>
                <a:effectLst/>
                <a:latin typeface="Univers 45 Light" pitchFamily="34" charset="0"/>
                <a:ea typeface="+mn-ea"/>
                <a:cs typeface="+mn-cs"/>
              </a:rPr>
              <a:t>Total Graduate SCH</a:t>
            </a:r>
            <a:endParaRPr lang="en-US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45</xdr:col>
      <xdr:colOff>609600</xdr:colOff>
      <xdr:row>38</xdr:row>
      <xdr:rowOff>24928</xdr:rowOff>
    </xdr:from>
    <xdr:to>
      <xdr:col>53</xdr:col>
      <xdr:colOff>1000125</xdr:colOff>
      <xdr:row>69</xdr:row>
      <xdr:rowOff>152398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13193183" y="4480511"/>
          <a:ext cx="6677025" cy="4868804"/>
          <a:chOff x="12732836" y="6575403"/>
          <a:chExt cx="5775548" cy="2538730"/>
        </a:xfrm>
      </xdr:grpSpPr>
      <xdr:graphicFrame macro="">
        <xdr:nvGraphicFramePr>
          <xdr:cNvPr id="1935" name="Chart 1">
            <a:extLst>
              <a:ext uri="{FF2B5EF4-FFF2-40B4-BE49-F238E27FC236}">
                <a16:creationId xmlns:a16="http://schemas.microsoft.com/office/drawing/2014/main" id="{00000000-0008-0000-0000-00008F070000}"/>
              </a:ext>
            </a:extLst>
          </xdr:cNvPr>
          <xdr:cNvGraphicFramePr>
            <a:graphicFrameLocks/>
          </xdr:cNvGraphicFramePr>
        </xdr:nvGraphicFramePr>
        <xdr:xfrm>
          <a:off x="12929411" y="6814991"/>
          <a:ext cx="5475697" cy="22991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">
        <xdr:nvSpPr>
          <xdr:cNvPr id="26" name="TextBox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 txBox="1"/>
        </xdr:nvSpPr>
        <xdr:spPr>
          <a:xfrm>
            <a:off x="12732836" y="6575403"/>
            <a:ext cx="5775548" cy="27948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 rtl="0"/>
            <a:r>
              <a:rPr lang="en-US" sz="1400" b="1" i="0" baseline="0">
                <a:solidFill>
                  <a:sysClr val="windowText" lastClr="000000"/>
                </a:solidFill>
                <a:effectLst/>
                <a:latin typeface="Univers 45 Light" pitchFamily="34" charset="0"/>
                <a:ea typeface="+mn-ea"/>
                <a:cs typeface="+mn-cs"/>
              </a:rPr>
              <a:t>Graduate SCH by College</a:t>
            </a:r>
            <a:endParaRPr lang="en-US" sz="1400">
              <a:solidFill>
                <a:sysClr val="windowText" lastClr="000000"/>
              </a:solidFill>
              <a:effectLst/>
              <a:latin typeface="Univers 45 Light" pitchFamily="34" charset="0"/>
            </a:endParaRPr>
          </a:p>
        </xdr:txBody>
      </xdr:sp>
    </xdr:grpSp>
    <xdr:clientData/>
  </xdr:twoCellAnchor>
  <xdr:twoCellAnchor>
    <xdr:from>
      <xdr:col>45</xdr:col>
      <xdr:colOff>628650</xdr:colOff>
      <xdr:row>0</xdr:row>
      <xdr:rowOff>76200</xdr:rowOff>
    </xdr:from>
    <xdr:to>
      <xdr:col>54</xdr:col>
      <xdr:colOff>9525</xdr:colOff>
      <xdr:row>0</xdr:row>
      <xdr:rowOff>188913</xdr:rowOff>
    </xdr:to>
    <xdr:grpSp>
      <xdr:nvGrpSpPr>
        <xdr:cNvPr id="39" name="Group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pSpPr>
          <a:grpSpLocks/>
        </xdr:cNvGrpSpPr>
      </xdr:nvGrpSpPr>
      <xdr:grpSpPr bwMode="auto">
        <a:xfrm>
          <a:off x="13212233" y="76200"/>
          <a:ext cx="6799792" cy="112713"/>
          <a:chOff x="6413256" y="43289"/>
          <a:chExt cx="6057168" cy="113593"/>
        </a:xfrm>
      </xdr:grpSpPr>
      <xdr:sp macro="" textlink="">
        <xdr:nvSpPr>
          <xdr:cNvPr id="40" name="Line 1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6413256" y="156882"/>
            <a:ext cx="6057168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ffectLst>
            <a:outerShdw blurRad="50800" dist="50800" dir="5400000" algn="ctr" rotWithShape="0">
              <a:schemeClr val="bg1"/>
            </a:outerShdw>
          </a:effectLst>
        </xdr:spPr>
        <xdr:txBody>
          <a:bodyPr/>
          <a:lstStyle/>
          <a:p>
            <a:endParaRPr lang="en-US"/>
          </a:p>
        </xdr:txBody>
      </xdr:sp>
      <xdr:pic>
        <xdr:nvPicPr>
          <xdr:cNvPr id="41" name="Picture 18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466093" y="43289"/>
            <a:ext cx="899687" cy="768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37</xdr:col>
      <xdr:colOff>41910</xdr:colOff>
      <xdr:row>19</xdr:row>
      <xdr:rowOff>0</xdr:rowOff>
    </xdr:from>
    <xdr:to>
      <xdr:col>46</xdr:col>
      <xdr:colOff>89537</xdr:colOff>
      <xdr:row>69</xdr:row>
      <xdr:rowOff>104775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6762327" y="3058583"/>
          <a:ext cx="6545793" cy="6243109"/>
          <a:chOff x="6595992" y="3609976"/>
          <a:chExt cx="6091978" cy="5306718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6595992" y="5132965"/>
            <a:ext cx="6091978" cy="3783729"/>
            <a:chOff x="12958650" y="7051"/>
            <a:chExt cx="5477680" cy="5479123"/>
          </a:xfrm>
        </xdr:grpSpPr>
        <xdr:grpSp>
          <xdr:nvGrpSpPr>
            <xdr:cNvPr id="1932" name="Group 18">
              <a:extLst>
                <a:ext uri="{FF2B5EF4-FFF2-40B4-BE49-F238E27FC236}">
                  <a16:creationId xmlns:a16="http://schemas.microsoft.com/office/drawing/2014/main" id="{00000000-0008-0000-0000-00008C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2958650" y="346979"/>
              <a:ext cx="5071230" cy="5139195"/>
              <a:chOff x="651948" y="2527501"/>
              <a:chExt cx="5071634" cy="5179711"/>
            </a:xfrm>
          </xdr:grpSpPr>
          <xdr:graphicFrame macro="">
            <xdr:nvGraphicFramePr>
              <xdr:cNvPr id="1938" name="Chart 1">
                <a:extLst>
                  <a:ext uri="{FF2B5EF4-FFF2-40B4-BE49-F238E27FC236}">
                    <a16:creationId xmlns:a16="http://schemas.microsoft.com/office/drawing/2014/main" id="{00000000-0008-0000-0000-000092070000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651948" y="4427981"/>
              <a:ext cx="5070277" cy="3279231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5"/>
              </a:graphicData>
            </a:graphic>
          </xdr:graphicFrame>
          <xdr:graphicFrame macro="">
            <xdr:nvGraphicFramePr>
              <xdr:cNvPr id="1939" name="Chart 1">
                <a:extLst>
                  <a:ext uri="{FF2B5EF4-FFF2-40B4-BE49-F238E27FC236}">
                    <a16:creationId xmlns:a16="http://schemas.microsoft.com/office/drawing/2014/main" id="{00000000-0008-0000-0000-000093070000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695177" y="2527501"/>
              <a:ext cx="5028405" cy="2002559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6"/>
              </a:graphicData>
            </a:graphic>
          </xdr:graphicFrame>
          <xdr:sp macro="" textlink="">
            <xdr:nvSpPr>
              <xdr:cNvPr id="22" name="TextBox 21">
                <a:extLst>
                  <a:ext uri="{FF2B5EF4-FFF2-40B4-BE49-F238E27FC236}">
                    <a16:creationId xmlns:a16="http://schemas.microsoft.com/office/drawing/2014/main" id="{00000000-0008-0000-0000-000016000000}"/>
                  </a:ext>
                </a:extLst>
              </xdr:cNvPr>
              <xdr:cNvSpPr txBox="1"/>
            </xdr:nvSpPr>
            <xdr:spPr>
              <a:xfrm>
                <a:off x="952832" y="4276076"/>
                <a:ext cx="754063" cy="268935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lang="en-US" sz="1600" b="0">
                    <a:latin typeface="Univers 45 Light" pitchFamily="34" charset="0"/>
                  </a:rPr>
                  <a:t>~ ~ ~ ~</a:t>
                </a:r>
              </a:p>
            </xdr:txBody>
          </xdr:sp>
        </xdr:grpSp>
        <xdr:sp macro="" textlink="" fLocksText="0">
          <xdr:nvSpPr>
            <xdr:cNvPr id="23" name="TextBox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>
              <a:spLocks noChangeAspect="1"/>
            </xdr:cNvSpPr>
          </xdr:nvSpPr>
          <xdr:spPr>
            <a:xfrm>
              <a:off x="13025984" y="7051"/>
              <a:ext cx="5410346" cy="4895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 rtl="0"/>
              <a:r>
                <a:rPr lang="en-US" sz="1400" b="1" i="0" baseline="0">
                  <a:solidFill>
                    <a:sysClr val="windowText" lastClr="000000"/>
                  </a:solidFill>
                  <a:effectLst/>
                  <a:latin typeface="Univers 45 Light" pitchFamily="34" charset="0"/>
                  <a:ea typeface="+mn-ea"/>
                  <a:cs typeface="+mn-cs"/>
                </a:rPr>
                <a:t>Undergraduate SCH by College</a:t>
              </a:r>
              <a:endParaRPr lang="en-US" sz="1400">
                <a:solidFill>
                  <a:sysClr val="windowText" lastClr="000000"/>
                </a:solidFill>
                <a:effectLst/>
                <a:latin typeface="Univers 45 Light" pitchFamily="34" charset="0"/>
              </a:endParaRPr>
            </a:p>
          </xdr:txBody>
        </xdr:sp>
      </xdr:grpSp>
      <xdr:graphicFrame macro="">
        <xdr:nvGraphicFramePr>
          <xdr:cNvPr id="35" name="Chart 1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GraphicFramePr>
            <a:graphicFrameLocks/>
          </xdr:cNvGraphicFramePr>
        </xdr:nvGraphicFramePr>
        <xdr:xfrm>
          <a:off x="6781800" y="3609976"/>
          <a:ext cx="5667375" cy="159988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0.81925</cdr:x>
      <cdr:y>0.01393</cdr:y>
    </cdr:from>
    <cdr:to>
      <cdr:x>0.81974</cdr:x>
      <cdr:y>0.01393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54345" y="20168"/>
          <a:ext cx="879610" cy="3132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 b="1">
              <a:latin typeface="Univers 45 Light" pitchFamily="34" charset="0"/>
            </a:rPr>
            <a:t>Engineering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0.86658</cdr:x>
      <cdr:y>0.46449</cdr:y>
    </cdr:from>
    <cdr:ext cx="416552" cy="233780"/>
    <cdr:sp macro="" textlink="">
      <cdr:nvSpPr>
        <cdr:cNvPr id="2" name="TextBox 1"/>
        <cdr:cNvSpPr txBox="1"/>
      </cdr:nvSpPr>
      <cdr:spPr>
        <a:xfrm xmlns:a="http://schemas.openxmlformats.org/drawingml/2006/main">
          <a:off x="5212687" y="694365"/>
          <a:ext cx="416552" cy="233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US" sz="1100" b="1">
              <a:latin typeface="Univers 45 Light" pitchFamily="34" charset="0"/>
            </a:rPr>
            <a:t>LAS</a:t>
          </a:r>
        </a:p>
      </cdr:txBody>
    </cdr:sp>
  </cdr:abs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Text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304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nivers 75 Black"/>
            </a:rPr>
            <a:t>Financial Report</a:t>
          </a: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nivers 75 Black"/>
            </a:rPr>
            <a:t>Second Liny of Text</a:t>
          </a:r>
        </a:p>
      </xdr:txBody>
    </xdr:sp>
    <xdr:clientData/>
  </xdr:twoCellAnchor>
  <xdr:twoCellAnchor editAs="absolute">
    <xdr:from>
      <xdr:col>0</xdr:col>
      <xdr:colOff>1</xdr:colOff>
      <xdr:row>16</xdr:row>
      <xdr:rowOff>57150</xdr:rowOff>
    </xdr:from>
    <xdr:to>
      <xdr:col>7</xdr:col>
      <xdr:colOff>488707</xdr:colOff>
      <xdr:row>56</xdr:row>
      <xdr:rowOff>733</xdr:rowOff>
    </xdr:to>
    <xdr:graphicFrame macro="">
      <xdr:nvGraphicFramePr>
        <xdr:cNvPr id="5233" name="Chart 9">
          <a:extLst>
            <a:ext uri="{FF2B5EF4-FFF2-40B4-BE49-F238E27FC236}">
              <a16:creationId xmlns:a16="http://schemas.microsoft.com/office/drawing/2014/main" id="{00000000-0008-0000-0200-00007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523497</xdr:colOff>
      <xdr:row>1</xdr:row>
      <xdr:rowOff>137348</xdr:rowOff>
    </xdr:from>
    <xdr:ext cx="881706" cy="18533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456947" y="299273"/>
          <a:ext cx="881706" cy="1853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1:BW360"/>
  <sheetViews>
    <sheetView showGridLines="0" tabSelected="1" view="pageBreakPreview" zoomScale="90" zoomScaleNormal="100" zoomScaleSheetLayoutView="90" workbookViewId="0">
      <selection activeCell="AK11" sqref="AK11"/>
    </sheetView>
  </sheetViews>
  <sheetFormatPr defaultColWidth="11.42578125" defaultRowHeight="12.75"/>
  <cols>
    <col min="1" max="2" width="0.85546875" customWidth="1"/>
    <col min="3" max="3" width="17.85546875" customWidth="1"/>
    <col min="4" max="18" width="8.140625" hidden="1" customWidth="1"/>
    <col min="19" max="19" width="3" hidden="1" customWidth="1"/>
    <col min="20" max="20" width="8.7109375" hidden="1" customWidth="1"/>
    <col min="21" max="26" width="15.28515625" hidden="1" customWidth="1"/>
    <col min="27" max="27" width="3.5703125" customWidth="1"/>
    <col min="28" max="32" width="14.7109375" hidden="1" customWidth="1"/>
    <col min="33" max="33" width="14.7109375" customWidth="1"/>
    <col min="34" max="37" width="15.7109375" style="18" customWidth="1"/>
    <col min="38" max="38" width="12.28515625" bestFit="1" customWidth="1"/>
    <col min="39" max="39" width="5.140625" bestFit="1" customWidth="1"/>
    <col min="40" max="40" width="9.140625" customWidth="1"/>
    <col min="42" max="42" width="15.7109375" customWidth="1"/>
    <col min="46" max="46" width="9.5703125" customWidth="1"/>
    <col min="47" max="50" width="11.85546875" customWidth="1"/>
    <col min="51" max="51" width="13.28515625" customWidth="1"/>
    <col min="52" max="53" width="11.85546875" customWidth="1"/>
    <col min="54" max="54" width="17" customWidth="1"/>
  </cols>
  <sheetData>
    <row r="1" spans="1:75" ht="15" customHeight="1">
      <c r="A1" t="s">
        <v>0</v>
      </c>
      <c r="AL1" t="s">
        <v>0</v>
      </c>
    </row>
    <row r="2" spans="1:75" s="158" customFormat="1" ht="23.25">
      <c r="A2" s="157" t="s">
        <v>127</v>
      </c>
      <c r="B2" s="157"/>
      <c r="C2" s="157"/>
      <c r="AH2" s="159"/>
      <c r="AI2" s="159"/>
      <c r="AJ2" s="159"/>
      <c r="AK2" s="159"/>
      <c r="AL2" s="157" t="s">
        <v>128</v>
      </c>
      <c r="AM2" s="157"/>
      <c r="AN2" s="157"/>
      <c r="AU2" s="157" t="s">
        <v>128</v>
      </c>
    </row>
    <row r="3" spans="1:75" s="63" customFormat="1" ht="9.75" customHeight="1">
      <c r="A3" s="144" t="s">
        <v>140</v>
      </c>
      <c r="B3" s="62"/>
      <c r="C3" s="62"/>
      <c r="AH3" s="128"/>
      <c r="AI3" s="128"/>
      <c r="AJ3" s="128"/>
      <c r="AK3" s="128"/>
      <c r="AL3" s="144" t="s">
        <v>80</v>
      </c>
      <c r="AM3" s="62"/>
      <c r="AN3" s="62"/>
      <c r="AU3" s="144" t="s">
        <v>80</v>
      </c>
    </row>
    <row r="4" spans="1:75" s="1" customFormat="1" ht="6" customHeight="1">
      <c r="AH4" s="129"/>
      <c r="AI4" s="129"/>
      <c r="AJ4" s="129"/>
      <c r="AK4" s="129"/>
    </row>
    <row r="5" spans="1:75" s="33" customFormat="1" ht="18.75" customHeight="1">
      <c r="A5" s="187" t="s">
        <v>129</v>
      </c>
      <c r="D5" s="34" t="s">
        <v>25</v>
      </c>
      <c r="E5" s="34" t="s">
        <v>26</v>
      </c>
      <c r="F5" s="34" t="s">
        <v>27</v>
      </c>
      <c r="G5" s="34" t="s">
        <v>28</v>
      </c>
      <c r="H5" s="34" t="s">
        <v>29</v>
      </c>
      <c r="I5" s="34" t="s">
        <v>30</v>
      </c>
      <c r="J5" s="34" t="s">
        <v>31</v>
      </c>
      <c r="K5" s="34" t="s">
        <v>32</v>
      </c>
      <c r="L5" s="34" t="s">
        <v>33</v>
      </c>
      <c r="M5" s="34" t="s">
        <v>39</v>
      </c>
      <c r="N5" s="34" t="s">
        <v>40</v>
      </c>
      <c r="O5" s="34" t="s">
        <v>43</v>
      </c>
      <c r="P5" s="34" t="s">
        <v>47</v>
      </c>
      <c r="Q5" s="34" t="s">
        <v>49</v>
      </c>
      <c r="R5" s="34" t="s">
        <v>51</v>
      </c>
      <c r="S5" s="34" t="s">
        <v>52</v>
      </c>
      <c r="T5" s="138" t="s">
        <v>57</v>
      </c>
      <c r="U5" s="139" t="s">
        <v>59</v>
      </c>
      <c r="V5" s="139" t="s">
        <v>62</v>
      </c>
      <c r="W5" s="139" t="s">
        <v>64</v>
      </c>
      <c r="X5" s="139" t="s">
        <v>66</v>
      </c>
      <c r="Y5" s="139" t="s">
        <v>68</v>
      </c>
      <c r="Z5" s="139" t="s">
        <v>70</v>
      </c>
      <c r="AA5" s="139"/>
      <c r="AB5" s="155" t="s">
        <v>120</v>
      </c>
      <c r="AC5" s="155" t="s">
        <v>121</v>
      </c>
      <c r="AD5" s="155" t="s">
        <v>122</v>
      </c>
      <c r="AE5" s="155" t="s">
        <v>123</v>
      </c>
      <c r="AF5" s="156" t="s">
        <v>124</v>
      </c>
      <c r="AG5" s="155" t="s">
        <v>138</v>
      </c>
      <c r="AH5" s="156" t="s">
        <v>139</v>
      </c>
      <c r="AI5" s="156" t="s">
        <v>144</v>
      </c>
      <c r="AJ5" s="156" t="s">
        <v>147</v>
      </c>
      <c r="AK5" s="156" t="s">
        <v>152</v>
      </c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</row>
    <row r="6" spans="1:75" s="39" customFormat="1" ht="15" customHeight="1">
      <c r="A6" s="186" t="s">
        <v>56</v>
      </c>
      <c r="B6" s="52"/>
      <c r="C6" s="52"/>
      <c r="D6" s="53"/>
      <c r="E6" s="53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136"/>
      <c r="AI6" s="136"/>
      <c r="AJ6" s="136"/>
      <c r="AK6" s="136"/>
    </row>
    <row r="7" spans="1:75" s="38" customFormat="1" ht="10.5" customHeight="1">
      <c r="A7" s="64"/>
      <c r="B7" s="65" t="s">
        <v>34</v>
      </c>
      <c r="C7" s="64"/>
      <c r="D7" s="66">
        <v>16571</v>
      </c>
      <c r="E7" s="66">
        <v>18129</v>
      </c>
      <c r="F7" s="66">
        <f>'Data for Table (Page1)'!F22</f>
        <v>19851</v>
      </c>
      <c r="G7" s="66">
        <f>'Data for Table (Page1)'!G22</f>
        <v>19512</v>
      </c>
      <c r="H7" s="66">
        <f>'Data for Table (Page1)'!H22</f>
        <v>18950</v>
      </c>
      <c r="I7" s="66">
        <f>'Data for Table (Page1)'!I22</f>
        <v>20071</v>
      </c>
      <c r="J7" s="66">
        <f>'Data for Table (Page1)'!J22</f>
        <v>19546</v>
      </c>
      <c r="K7" s="66">
        <f>'Data for Table (Page1)'!K22</f>
        <v>21234</v>
      </c>
      <c r="L7" s="66">
        <f>'Data for Table (Page1)'!L22</f>
        <v>20942</v>
      </c>
      <c r="M7" s="66">
        <f>'Data for Table (Page1)'!M22</f>
        <v>19705</v>
      </c>
      <c r="N7" s="66">
        <f>'Data for Table (Page1)'!N22</f>
        <v>18613</v>
      </c>
      <c r="O7" s="66">
        <f>'Data for Table (Page1)'!O22</f>
        <v>20850</v>
      </c>
      <c r="P7" s="66">
        <f>'Data for Table (Page1)'!P22</f>
        <v>20199</v>
      </c>
      <c r="Q7" s="66">
        <f>'Data for Table (Page1)'!Q22</f>
        <v>22095</v>
      </c>
      <c r="R7" s="66">
        <f>'Data for Table (Page1)'!R22</f>
        <v>21029</v>
      </c>
      <c r="S7" s="66">
        <f>'Data for Table (Page1)'!S22</f>
        <v>21557</v>
      </c>
      <c r="T7" s="66">
        <f>'Data for Table (Page1)'!T22</f>
        <v>25291</v>
      </c>
      <c r="U7" s="67">
        <f>'Data for Table (Page1)'!U22</f>
        <v>27173</v>
      </c>
      <c r="V7" s="67">
        <f>'Data for Table (Page1)'!V22</f>
        <v>32312</v>
      </c>
      <c r="W7" s="67">
        <f>'Data for Table (Page1)'!W22</f>
        <v>33971</v>
      </c>
      <c r="X7" s="67">
        <f>'Data for Table (Page1)'!X22</f>
        <v>34612</v>
      </c>
      <c r="Y7" s="67">
        <f>'Data for Table (Page1)'!Y22</f>
        <v>40548</v>
      </c>
      <c r="Z7" s="67">
        <f>'Data for Table (Page1)'!Z22</f>
        <v>41482</v>
      </c>
      <c r="AA7" s="67"/>
      <c r="AB7" s="67">
        <f>'Data for Table (Page1)'!AA22</f>
        <v>48929.259999999995</v>
      </c>
      <c r="AC7" s="67">
        <f>'Data for Table (Page1)'!AB22</f>
        <v>50710.78</v>
      </c>
      <c r="AD7" s="67">
        <v>48501.2811</v>
      </c>
      <c r="AE7" s="67">
        <f>'Data for Table (Page1)'!AD22</f>
        <v>47525.979999999996</v>
      </c>
      <c r="AF7" s="67">
        <f>'Data for Table (Page1)'!AE22</f>
        <v>45989.495999999999</v>
      </c>
      <c r="AG7" s="67">
        <f>'Data for Table (Page1)'!AF22</f>
        <v>48160.701000000001</v>
      </c>
      <c r="AH7" s="67">
        <f>'Data for Table (Page1)'!AG22</f>
        <v>45536.786999999997</v>
      </c>
      <c r="AI7" s="67">
        <f>'Data for Table (Page1)'!AH22</f>
        <v>45317.425000000003</v>
      </c>
      <c r="AJ7" s="67">
        <f>'Data for Table (Page1)'!AI22</f>
        <v>44674.09</v>
      </c>
      <c r="AK7" s="67">
        <f>'Data for Table (Page1)'!AJ22</f>
        <v>44830</v>
      </c>
    </row>
    <row r="8" spans="1:75" s="38" customFormat="1" ht="10.5" customHeight="1">
      <c r="A8" s="64"/>
      <c r="B8" s="65" t="s">
        <v>35</v>
      </c>
      <c r="C8" s="64"/>
      <c r="D8" s="66">
        <v>22098</v>
      </c>
      <c r="E8" s="66">
        <f>24543-137-30</f>
        <v>24376</v>
      </c>
      <c r="F8" s="66">
        <f>'Data for Table (Page1)'!F23</f>
        <v>24167</v>
      </c>
      <c r="G8" s="66">
        <f>'Data for Table (Page1)'!G23</f>
        <v>24572</v>
      </c>
      <c r="H8" s="66">
        <f>'Data for Table (Page1)'!H23</f>
        <v>26510</v>
      </c>
      <c r="I8" s="66">
        <f>'Data for Table (Page1)'!I23</f>
        <v>26783</v>
      </c>
      <c r="J8" s="66">
        <f>'Data for Table (Page1)'!J23</f>
        <v>25362</v>
      </c>
      <c r="K8" s="66">
        <f>'Data for Table (Page1)'!K23</f>
        <v>26984</v>
      </c>
      <c r="L8" s="66">
        <f>'Data for Table (Page1)'!L23</f>
        <v>28799</v>
      </c>
      <c r="M8" s="66">
        <f>'Data for Table (Page1)'!M23</f>
        <v>28302</v>
      </c>
      <c r="N8" s="66">
        <f>'Data for Table (Page1)'!N23</f>
        <v>30893</v>
      </c>
      <c r="O8" s="66">
        <f>'Data for Table (Page1)'!O23</f>
        <v>28885</v>
      </c>
      <c r="P8" s="66">
        <f>'Data for Table (Page1)'!P23</f>
        <v>26322</v>
      </c>
      <c r="Q8" s="66">
        <f>'Data for Table (Page1)'!Q23</f>
        <v>26685</v>
      </c>
      <c r="R8" s="66">
        <f>'Data for Table (Page1)'!R23</f>
        <v>24309</v>
      </c>
      <c r="S8" s="66">
        <f>'Data for Table (Page1)'!S23</f>
        <v>23994</v>
      </c>
      <c r="T8" s="66">
        <f>'Data for Table (Page1)'!T23</f>
        <v>25067</v>
      </c>
      <c r="U8" s="67">
        <f>'Data for Table (Page1)'!U23</f>
        <v>26953</v>
      </c>
      <c r="V8" s="67">
        <f>'Data for Table (Page1)'!V23</f>
        <v>29831</v>
      </c>
      <c r="W8" s="67">
        <f>'Data for Table (Page1)'!W23</f>
        <v>30751</v>
      </c>
      <c r="X8" s="67">
        <f>'Data for Table (Page1)'!X23</f>
        <v>34557</v>
      </c>
      <c r="Y8" s="67">
        <f>'Data for Table (Page1)'!Y23</f>
        <v>37520</v>
      </c>
      <c r="Z8" s="67">
        <f>'Data for Table (Page1)'!Z23</f>
        <v>40526</v>
      </c>
      <c r="AA8" s="67"/>
      <c r="AB8" s="67">
        <f>'Data for Table (Page1)'!AA23</f>
        <v>47628.700000000004</v>
      </c>
      <c r="AC8" s="67">
        <f>'Data for Table (Page1)'!AB23</f>
        <v>48234.17</v>
      </c>
      <c r="AD8" s="67">
        <v>50249.8416</v>
      </c>
      <c r="AE8" s="67">
        <f>'Data for Table (Page1)'!AD23</f>
        <v>49565.85</v>
      </c>
      <c r="AF8" s="67">
        <f>'Data for Table (Page1)'!AE23</f>
        <v>49150.165999999997</v>
      </c>
      <c r="AG8" s="67">
        <f>'Data for Table (Page1)'!AF23</f>
        <v>46456.373</v>
      </c>
      <c r="AH8" s="67">
        <f>'Data for Table (Page1)'!AG23</f>
        <v>45370.186000000002</v>
      </c>
      <c r="AI8" s="67">
        <f>'Data for Table (Page1)'!AH23</f>
        <v>43517.831000000006</v>
      </c>
      <c r="AJ8" s="67">
        <f>'Data for Table (Page1)'!AI23</f>
        <v>42474.69</v>
      </c>
      <c r="AK8" s="67">
        <f>'Data for Table (Page1)'!AJ23</f>
        <v>40767</v>
      </c>
    </row>
    <row r="9" spans="1:75" s="38" customFormat="1" ht="10.5" customHeight="1">
      <c r="A9" s="64"/>
      <c r="B9" s="65" t="s">
        <v>37</v>
      </c>
      <c r="C9" s="64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7"/>
      <c r="V9" s="67"/>
      <c r="W9" s="67"/>
      <c r="X9" s="67"/>
      <c r="Y9" s="67"/>
      <c r="Z9" s="67"/>
      <c r="AA9" s="67"/>
      <c r="AB9" s="67">
        <f>'Data for Table (Page1)'!AA24</f>
        <v>34.44</v>
      </c>
      <c r="AC9" s="67">
        <f>'Data for Table (Page1)'!AB24</f>
        <v>53.43</v>
      </c>
      <c r="AD9" s="67">
        <v>48.1</v>
      </c>
      <c r="AE9" s="67">
        <f>'Data for Table (Page1)'!AD24</f>
        <v>76.91</v>
      </c>
      <c r="AF9" s="67">
        <f>'Data for Table (Page1)'!AE24</f>
        <v>47.04</v>
      </c>
      <c r="AG9" s="67">
        <f>'Data for Table (Page1)'!AF24</f>
        <v>58.93</v>
      </c>
      <c r="AH9" s="67">
        <f>'Data for Table (Page1)'!AG24</f>
        <v>18.45</v>
      </c>
      <c r="AI9" s="67">
        <f>'Data for Table (Page1)'!AH24</f>
        <v>42.7</v>
      </c>
      <c r="AJ9" s="67">
        <f>'Data for Table (Page1)'!AI24</f>
        <v>34.700000000000003</v>
      </c>
      <c r="AK9" s="67">
        <f>'Data for Table (Page1)'!AJ24</f>
        <v>46</v>
      </c>
    </row>
    <row r="10" spans="1:75" s="38" customFormat="1" ht="10.5" customHeight="1">
      <c r="A10" s="64"/>
      <c r="B10" s="65" t="s">
        <v>36</v>
      </c>
      <c r="C10" s="64"/>
      <c r="D10" s="66">
        <v>10605</v>
      </c>
      <c r="E10" s="66">
        <v>10836</v>
      </c>
      <c r="F10" s="66">
        <f>'Data for Table (Page1)'!F25</f>
        <v>10909</v>
      </c>
      <c r="G10" s="66">
        <f>'Data for Table (Page1)'!G25</f>
        <v>12013</v>
      </c>
      <c r="H10" s="66">
        <f>'Data for Table (Page1)'!H25</f>
        <v>11520</v>
      </c>
      <c r="I10" s="66">
        <f>'Data for Table (Page1)'!I25</f>
        <v>10762</v>
      </c>
      <c r="J10" s="66">
        <f>'Data for Table (Page1)'!J25</f>
        <v>11119</v>
      </c>
      <c r="K10" s="66">
        <f>'Data for Table (Page1)'!K25</f>
        <v>12010</v>
      </c>
      <c r="L10" s="66">
        <f>'Data for Table (Page1)'!L25</f>
        <v>11600</v>
      </c>
      <c r="M10" s="66">
        <f>'Data for Table (Page1)'!M25</f>
        <v>11079</v>
      </c>
      <c r="N10" s="66">
        <f>'Data for Table (Page1)'!N25</f>
        <v>11349</v>
      </c>
      <c r="O10" s="66">
        <f>'Data for Table (Page1)'!O25</f>
        <v>11279</v>
      </c>
      <c r="P10" s="66">
        <f>'Data for Table (Page1)'!P25</f>
        <v>11010</v>
      </c>
      <c r="Q10" s="66">
        <f>'Data for Table (Page1)'!Q25</f>
        <v>11728</v>
      </c>
      <c r="R10" s="66">
        <f>'Data for Table (Page1)'!R25</f>
        <v>11462</v>
      </c>
      <c r="S10" s="66">
        <f>'Data for Table (Page1)'!S25</f>
        <v>11189</v>
      </c>
      <c r="T10" s="66">
        <f>'Data for Table (Page1)'!T25</f>
        <v>11137</v>
      </c>
      <c r="U10" s="67">
        <f>'Data for Table (Page1)'!U25</f>
        <v>11432</v>
      </c>
      <c r="V10" s="67">
        <f>'Data for Table (Page1)'!V25</f>
        <v>11577</v>
      </c>
      <c r="W10" s="67">
        <f>'Data for Table (Page1)'!W25</f>
        <v>11272</v>
      </c>
      <c r="X10" s="67">
        <f>'Data for Table (Page1)'!X25</f>
        <v>9536</v>
      </c>
      <c r="Y10" s="67">
        <f>'Data for Table (Page1)'!Y25</f>
        <v>10222</v>
      </c>
      <c r="Z10" s="67">
        <f>'Data for Table (Page1)'!Z25</f>
        <v>10905</v>
      </c>
      <c r="AA10" s="67"/>
      <c r="AB10" s="67">
        <f>'Data for Table (Page1)'!AA25</f>
        <v>12642.43</v>
      </c>
      <c r="AC10" s="67">
        <f>'Data for Table (Page1)'!AB25</f>
        <v>12696.21</v>
      </c>
      <c r="AD10" s="67">
        <v>12162.2909</v>
      </c>
      <c r="AE10" s="67">
        <f>'Data for Table (Page1)'!AD25</f>
        <v>11736.58</v>
      </c>
      <c r="AF10" s="67">
        <f>'Data for Table (Page1)'!AE25</f>
        <v>11428.314999999999</v>
      </c>
      <c r="AG10" s="67">
        <f>'Data for Table (Page1)'!AF25</f>
        <v>10994.093000000001</v>
      </c>
      <c r="AH10" s="67">
        <f>'Data for Table (Page1)'!AG25</f>
        <v>10235.991000000002</v>
      </c>
      <c r="AI10" s="67">
        <f>'Data for Table (Page1)'!AH25</f>
        <v>10180.823</v>
      </c>
      <c r="AJ10" s="67">
        <f>'Data for Table (Page1)'!AI25</f>
        <v>9366.4700000000012</v>
      </c>
      <c r="AK10" s="67">
        <f>'Data for Table (Page1)'!AJ25</f>
        <v>9594</v>
      </c>
    </row>
    <row r="11" spans="1:75" s="38" customFormat="1" ht="10.5" customHeight="1">
      <c r="A11" s="64"/>
      <c r="B11" s="65"/>
      <c r="C11" s="177" t="s">
        <v>20</v>
      </c>
      <c r="D11" s="178">
        <f>SUM(D7:D10)</f>
        <v>49274</v>
      </c>
      <c r="E11" s="178">
        <f>SUM(E7:E10)</f>
        <v>53341</v>
      </c>
      <c r="F11" s="178">
        <f>'Data for Table (Page1)'!F21</f>
        <v>54927</v>
      </c>
      <c r="G11" s="178">
        <f>'Data for Table (Page1)'!G21</f>
        <v>56097</v>
      </c>
      <c r="H11" s="178">
        <f>'Data for Table (Page1)'!H21</f>
        <v>56980</v>
      </c>
      <c r="I11" s="178">
        <f>'Data for Table (Page1)'!I21</f>
        <v>57616</v>
      </c>
      <c r="J11" s="178">
        <f>'Data for Table (Page1)'!J21</f>
        <v>56027</v>
      </c>
      <c r="K11" s="178">
        <f>'Data for Table (Page1)'!K21</f>
        <v>60228</v>
      </c>
      <c r="L11" s="178">
        <f>'Data for Table (Page1)'!L21</f>
        <v>61341</v>
      </c>
      <c r="M11" s="178">
        <f>'Data for Table (Page1)'!M21</f>
        <v>59086</v>
      </c>
      <c r="N11" s="178">
        <f>'Data for Table (Page1)'!N21</f>
        <v>60855</v>
      </c>
      <c r="O11" s="178">
        <f>'Data for Table (Page1)'!O21</f>
        <v>61014</v>
      </c>
      <c r="P11" s="178">
        <f>'Data for Table (Page1)'!P21</f>
        <v>57531</v>
      </c>
      <c r="Q11" s="178">
        <f>'Data for Table (Page1)'!Q21</f>
        <v>60508</v>
      </c>
      <c r="R11" s="178">
        <f>'Data for Table (Page1)'!R21</f>
        <v>56800</v>
      </c>
      <c r="S11" s="178">
        <f>'Data for Table (Page1)'!S21</f>
        <v>56740</v>
      </c>
      <c r="T11" s="178">
        <f>'Data for Table (Page1)'!T21</f>
        <v>61495</v>
      </c>
      <c r="U11" s="179">
        <f>'Data for Table (Page1)'!U21</f>
        <v>65558</v>
      </c>
      <c r="V11" s="179">
        <f>'Data for Table (Page1)'!V21</f>
        <v>73720</v>
      </c>
      <c r="W11" s="179">
        <f>'Data for Table (Page1)'!W21</f>
        <v>75994</v>
      </c>
      <c r="X11" s="179">
        <f>'Data for Table (Page1)'!X21</f>
        <v>78705</v>
      </c>
      <c r="Y11" s="179">
        <f>'Data for Table (Page1)'!Y21</f>
        <v>88290</v>
      </c>
      <c r="Z11" s="179">
        <f>'Data for Table (Page1)'!Z21</f>
        <v>92913</v>
      </c>
      <c r="AA11" s="179"/>
      <c r="AB11" s="179">
        <f>'Data for Table (Page1)'!AA21</f>
        <v>109234.82999999999</v>
      </c>
      <c r="AC11" s="179">
        <f>'Data for Table (Page1)'!AB21</f>
        <v>111694.59</v>
      </c>
      <c r="AD11" s="179">
        <f>SUM(AD7:AD10)</f>
        <v>110961.51360000001</v>
      </c>
      <c r="AE11" s="179">
        <f>'Data for Table (Page1)'!AD21</f>
        <v>108905.31999999999</v>
      </c>
      <c r="AF11" s="179">
        <f>'Data for Table (Page1)'!AE21</f>
        <v>106615.01699999999</v>
      </c>
      <c r="AG11" s="179">
        <f>'Data for Table (Page1)'!AF21</f>
        <v>105670.09699999998</v>
      </c>
      <c r="AH11" s="179">
        <f>'Data for Table (Page1)'!AG21</f>
        <v>101161.41399999999</v>
      </c>
      <c r="AI11" s="179">
        <f>SUM(AI7:AI10)</f>
        <v>99058.77900000001</v>
      </c>
      <c r="AJ11" s="179">
        <f>SUM(AJ7:AJ10)</f>
        <v>96549.95</v>
      </c>
      <c r="AK11" s="179">
        <f>SUM(AK7:AK10)</f>
        <v>95237</v>
      </c>
    </row>
    <row r="12" spans="1:75" s="39" customFormat="1" ht="14.25" customHeight="1">
      <c r="A12" s="4" t="s">
        <v>4</v>
      </c>
      <c r="B12" s="41"/>
      <c r="C12" s="41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</row>
    <row r="13" spans="1:75" s="38" customFormat="1" ht="11.25" customHeight="1">
      <c r="B13" s="37" t="s">
        <v>34</v>
      </c>
      <c r="D13" s="36">
        <v>11473</v>
      </c>
      <c r="E13" s="36">
        <f>10379-27</f>
        <v>10352</v>
      </c>
      <c r="F13" s="36">
        <f>'Data for Table (Page1)'!F45</f>
        <v>12977</v>
      </c>
      <c r="G13" s="36">
        <f>'Data for Table (Page1)'!G45</f>
        <v>13969</v>
      </c>
      <c r="H13" s="36">
        <f>'Data for Table (Page1)'!H45</f>
        <v>14311</v>
      </c>
      <c r="I13" s="36">
        <f>'Data for Table (Page1)'!I45</f>
        <v>14442</v>
      </c>
      <c r="J13" s="36">
        <f>'Data for Table (Page1)'!J45</f>
        <v>12447</v>
      </c>
      <c r="K13" s="36">
        <f>'Data for Table (Page1)'!K45</f>
        <v>12176</v>
      </c>
      <c r="L13" s="36">
        <f>'Data for Table (Page1)'!L45</f>
        <v>13425</v>
      </c>
      <c r="M13" s="36">
        <f>'Data for Table (Page1)'!M45</f>
        <v>14045</v>
      </c>
      <c r="N13" s="36">
        <f>'Data for Table (Page1)'!N45</f>
        <v>14180</v>
      </c>
      <c r="O13" s="36">
        <f>'Data for Table (Page1)'!O45</f>
        <v>14164</v>
      </c>
      <c r="P13" s="36">
        <f>'Data for Table (Page1)'!P45</f>
        <v>13173</v>
      </c>
      <c r="Q13" s="36">
        <f>'Data for Table (Page1)'!Q45</f>
        <v>11902</v>
      </c>
      <c r="R13" s="36">
        <f>'Data for Table (Page1)'!R45</f>
        <v>12279</v>
      </c>
      <c r="S13" s="36">
        <f>'Data for Table (Page1)'!S45</f>
        <v>12176</v>
      </c>
      <c r="T13" s="36">
        <f>'Data for Table (Page1)'!T45</f>
        <v>11714</v>
      </c>
      <c r="U13" s="58">
        <f>'Data for Table (Page1)'!U45</f>
        <v>12239</v>
      </c>
      <c r="V13" s="58">
        <f>'Data for Table (Page1)'!V45</f>
        <v>13741</v>
      </c>
      <c r="W13" s="58">
        <f>'Data for Table (Page1)'!W45</f>
        <v>14110</v>
      </c>
      <c r="X13" s="58">
        <f>'Data for Table (Page1)'!X45</f>
        <v>16879</v>
      </c>
      <c r="Y13" s="58">
        <f>'Data for Table (Page1)'!Y45</f>
        <v>20146</v>
      </c>
      <c r="Z13" s="58">
        <f>'Data for Table (Page1)'!Z45</f>
        <v>21618</v>
      </c>
      <c r="AA13" s="58"/>
      <c r="AB13" s="58">
        <f>'Data for Table (Page1)'!AA45</f>
        <v>21214</v>
      </c>
      <c r="AC13" s="58">
        <f>'Data for Table (Page1)'!AB45</f>
        <v>23688</v>
      </c>
      <c r="AD13" s="58">
        <v>24039</v>
      </c>
      <c r="AE13" s="58">
        <f>'Data for Table (Page1)'!AD45</f>
        <v>24224</v>
      </c>
      <c r="AF13" s="58">
        <f>'Data for Table (Page1)'!AE45</f>
        <v>22402</v>
      </c>
      <c r="AG13" s="58">
        <f>'Data for Table (Page1)'!AF45</f>
        <v>21813</v>
      </c>
      <c r="AH13" s="58">
        <f>'Data for Table (Page1)'!AG45</f>
        <v>20964</v>
      </c>
      <c r="AI13" s="58">
        <f>'Data for Table (Page1)'!AH45</f>
        <v>17488</v>
      </c>
      <c r="AJ13" s="58">
        <f>'Data for Table (Page1)'!AI45</f>
        <v>15955</v>
      </c>
      <c r="AK13" s="58">
        <f>'Data for Table (Page1)'!AJ45</f>
        <v>16690</v>
      </c>
    </row>
    <row r="14" spans="1:75" s="38" customFormat="1" ht="11.25" customHeight="1">
      <c r="B14" s="37" t="s">
        <v>35</v>
      </c>
      <c r="D14" s="36">
        <v>31458</v>
      </c>
      <c r="E14" s="36">
        <f>30288</f>
        <v>30288</v>
      </c>
      <c r="F14" s="36">
        <f>'Data for Table (Page1)'!F46</f>
        <v>26892</v>
      </c>
      <c r="G14" s="36">
        <f>'Data for Table (Page1)'!G46</f>
        <v>24946</v>
      </c>
      <c r="H14" s="36">
        <f>'Data for Table (Page1)'!H46</f>
        <v>25698</v>
      </c>
      <c r="I14" s="36">
        <f>'Data for Table (Page1)'!I46</f>
        <v>28984</v>
      </c>
      <c r="J14" s="36">
        <f>'Data for Table (Page1)'!J46</f>
        <v>34704</v>
      </c>
      <c r="K14" s="36">
        <f>'Data for Table (Page1)'!K46</f>
        <v>37354</v>
      </c>
      <c r="L14" s="36">
        <f>'Data for Table (Page1)'!L46</f>
        <v>39186</v>
      </c>
      <c r="M14" s="36">
        <f>'Data for Table (Page1)'!M46</f>
        <v>39936</v>
      </c>
      <c r="N14" s="36">
        <f>'Data for Table (Page1)'!N46</f>
        <v>43401</v>
      </c>
      <c r="O14" s="36">
        <f>'Data for Table (Page1)'!O46</f>
        <v>44155</v>
      </c>
      <c r="P14" s="36">
        <f>'Data for Table (Page1)'!P46</f>
        <v>46800</v>
      </c>
      <c r="Q14" s="36">
        <f>'Data for Table (Page1)'!Q46</f>
        <v>48211</v>
      </c>
      <c r="R14" s="36">
        <f>'Data for Table (Page1)'!R46</f>
        <v>46773</v>
      </c>
      <c r="S14" s="36">
        <f>'Data for Table (Page1)'!S46</f>
        <v>43234</v>
      </c>
      <c r="T14" s="36">
        <f>'Data for Table (Page1)'!T46</f>
        <v>43839</v>
      </c>
      <c r="U14" s="58">
        <f>'Data for Table (Page1)'!U46</f>
        <v>43610</v>
      </c>
      <c r="V14" s="58">
        <f>'Data for Table (Page1)'!V46</f>
        <v>44493</v>
      </c>
      <c r="W14" s="58">
        <f>'Data for Table (Page1)'!W46</f>
        <v>41637</v>
      </c>
      <c r="X14" s="58">
        <f>'Data for Table (Page1)'!X46</f>
        <v>42319</v>
      </c>
      <c r="Y14" s="58">
        <f>'Data for Table (Page1)'!Y46</f>
        <v>42367</v>
      </c>
      <c r="Z14" s="58">
        <f>'Data for Table (Page1)'!Z46</f>
        <v>45081</v>
      </c>
      <c r="AA14" s="58"/>
      <c r="AB14" s="58">
        <f>'Data for Table (Page1)'!AA46</f>
        <v>47623.4</v>
      </c>
      <c r="AC14" s="58">
        <f>'Data for Table (Page1)'!AB46</f>
        <v>51618.29</v>
      </c>
      <c r="AD14" s="58">
        <v>56699.15</v>
      </c>
      <c r="AE14" s="58">
        <f>'Data for Table (Page1)'!AD46</f>
        <v>59441.5</v>
      </c>
      <c r="AF14" s="58">
        <f>'Data for Table (Page1)'!AE46</f>
        <v>62425.7</v>
      </c>
      <c r="AG14" s="58">
        <f>'Data for Table (Page1)'!AF46</f>
        <v>60241.24</v>
      </c>
      <c r="AH14" s="58">
        <f>'Data for Table (Page1)'!AG46</f>
        <v>64130.400000000001</v>
      </c>
      <c r="AI14" s="58">
        <f>'Data for Table (Page1)'!AH46</f>
        <v>61434</v>
      </c>
      <c r="AJ14" s="58">
        <f>'Data for Table (Page1)'!AI46</f>
        <v>59931.95</v>
      </c>
      <c r="AK14" s="58">
        <f>'Data for Table (Page1)'!AJ46</f>
        <v>66497</v>
      </c>
    </row>
    <row r="15" spans="1:75" s="38" customFormat="1" ht="11.25" customHeight="1">
      <c r="B15" s="37" t="s">
        <v>36</v>
      </c>
      <c r="D15" s="36">
        <v>2919</v>
      </c>
      <c r="E15" s="36">
        <v>3087</v>
      </c>
      <c r="F15" s="36">
        <f>'Data for Table (Page1)'!F47</f>
        <v>3583</v>
      </c>
      <c r="G15" s="36">
        <f>'Data for Table (Page1)'!G47</f>
        <v>3554</v>
      </c>
      <c r="H15" s="36">
        <f>'Data for Table (Page1)'!H47</f>
        <v>3489</v>
      </c>
      <c r="I15" s="36">
        <f>'Data for Table (Page1)'!I47</f>
        <v>3916</v>
      </c>
      <c r="J15" s="36">
        <f>'Data for Table (Page1)'!J47</f>
        <v>3805</v>
      </c>
      <c r="K15" s="36">
        <f>'Data for Table (Page1)'!K47</f>
        <v>3582</v>
      </c>
      <c r="L15" s="36">
        <f>'Data for Table (Page1)'!L47</f>
        <v>3962</v>
      </c>
      <c r="M15" s="36">
        <f>'Data for Table (Page1)'!M47</f>
        <v>4444</v>
      </c>
      <c r="N15" s="36">
        <f>'Data for Table (Page1)'!N47</f>
        <v>4717</v>
      </c>
      <c r="O15" s="36">
        <f>'Data for Table (Page1)'!O47</f>
        <v>4781</v>
      </c>
      <c r="P15" s="36">
        <f>'Data for Table (Page1)'!P47</f>
        <v>4613</v>
      </c>
      <c r="Q15" s="36">
        <f>'Data for Table (Page1)'!Q47</f>
        <v>3696</v>
      </c>
      <c r="R15" s="36">
        <f>'Data for Table (Page1)'!R47</f>
        <v>3690</v>
      </c>
      <c r="S15" s="36">
        <f>'Data for Table (Page1)'!S47</f>
        <v>3998</v>
      </c>
      <c r="T15" s="36">
        <f>'Data for Table (Page1)'!T47</f>
        <v>4324</v>
      </c>
      <c r="U15" s="58">
        <f>'Data for Table (Page1)'!U47</f>
        <v>4758</v>
      </c>
      <c r="V15" s="58">
        <f>'Data for Table (Page1)'!V47</f>
        <v>4896</v>
      </c>
      <c r="W15" s="58">
        <f>'Data for Table (Page1)'!W47</f>
        <v>4626</v>
      </c>
      <c r="X15" s="58">
        <f>'Data for Table (Page1)'!X47</f>
        <v>4483</v>
      </c>
      <c r="Y15" s="58">
        <f>'Data for Table (Page1)'!Y47</f>
        <v>3987</v>
      </c>
      <c r="Z15" s="58">
        <f>'Data for Table (Page1)'!Z47</f>
        <v>4173</v>
      </c>
      <c r="AA15" s="58"/>
      <c r="AB15" s="58">
        <f>'Data for Table (Page1)'!AA47</f>
        <v>4905.3999999999996</v>
      </c>
      <c r="AC15" s="58">
        <f>'Data for Table (Page1)'!AB47</f>
        <v>5767.24</v>
      </c>
      <c r="AD15" s="58">
        <v>5691.7</v>
      </c>
      <c r="AE15" s="58">
        <f>'Data for Table (Page1)'!AD47</f>
        <v>5368.67</v>
      </c>
      <c r="AF15" s="58">
        <f>'Data for Table (Page1)'!AE47</f>
        <v>5236.7</v>
      </c>
      <c r="AG15" s="58">
        <f>'Data for Table (Page1)'!AF47</f>
        <v>5770.3</v>
      </c>
      <c r="AH15" s="58">
        <f>'Data for Table (Page1)'!AG47</f>
        <v>7594.5939999999991</v>
      </c>
      <c r="AI15" s="58">
        <f>'Data for Table (Page1)'!AH47</f>
        <v>7050</v>
      </c>
      <c r="AJ15" s="58">
        <f>'Data for Table (Page1)'!AI47</f>
        <v>7518.09</v>
      </c>
      <c r="AK15" s="58">
        <f>'Data for Table (Page1)'!AJ47</f>
        <v>7586</v>
      </c>
    </row>
    <row r="16" spans="1:75" s="38" customFormat="1" ht="11.25" customHeight="1">
      <c r="B16" s="37"/>
      <c r="C16" s="180" t="s">
        <v>20</v>
      </c>
      <c r="D16" s="181">
        <f>SUM(D13:D15)</f>
        <v>45850</v>
      </c>
      <c r="E16" s="181">
        <f>SUM(E13:E15)</f>
        <v>43727</v>
      </c>
      <c r="F16" s="181">
        <f>'Data for Table (Page1)'!F44</f>
        <v>43452</v>
      </c>
      <c r="G16" s="181">
        <f>'Data for Table (Page1)'!G44</f>
        <v>42469</v>
      </c>
      <c r="H16" s="181">
        <f>'Data for Table (Page1)'!H44</f>
        <v>43498</v>
      </c>
      <c r="I16" s="181">
        <f>'Data for Table (Page1)'!I44</f>
        <v>47342</v>
      </c>
      <c r="J16" s="181">
        <f>'Data for Table (Page1)'!J44</f>
        <v>50956</v>
      </c>
      <c r="K16" s="181">
        <f>'Data for Table (Page1)'!K44</f>
        <v>53112</v>
      </c>
      <c r="L16" s="181">
        <f>'Data for Table (Page1)'!L44</f>
        <v>56573</v>
      </c>
      <c r="M16" s="181">
        <f>'Data for Table (Page1)'!M44</f>
        <v>58425</v>
      </c>
      <c r="N16" s="181">
        <f>'Data for Table (Page1)'!N44</f>
        <v>62298</v>
      </c>
      <c r="O16" s="181">
        <f>'Data for Table (Page1)'!O44</f>
        <v>63100</v>
      </c>
      <c r="P16" s="181">
        <f>'Data for Table (Page1)'!P44</f>
        <v>64586</v>
      </c>
      <c r="Q16" s="181">
        <f>'Data for Table (Page1)'!Q44</f>
        <v>63809</v>
      </c>
      <c r="R16" s="181">
        <f>'Data for Table (Page1)'!R44</f>
        <v>62742</v>
      </c>
      <c r="S16" s="181">
        <f>'Data for Table (Page1)'!S44</f>
        <v>59408</v>
      </c>
      <c r="T16" s="181">
        <f>'Data for Table (Page1)'!T44</f>
        <v>59877</v>
      </c>
      <c r="U16" s="182">
        <f>'Data for Table (Page1)'!U44</f>
        <v>60607</v>
      </c>
      <c r="V16" s="182">
        <f>'Data for Table (Page1)'!V44</f>
        <v>63130</v>
      </c>
      <c r="W16" s="182">
        <f>'Data for Table (Page1)'!W44</f>
        <v>60373</v>
      </c>
      <c r="X16" s="182">
        <f>'Data for Table (Page1)'!X44</f>
        <v>63681</v>
      </c>
      <c r="Y16" s="182">
        <f>'Data for Table (Page1)'!Y44</f>
        <v>66500</v>
      </c>
      <c r="Z16" s="182">
        <f>'Data for Table (Page1)'!Z44</f>
        <v>70872</v>
      </c>
      <c r="AA16" s="182"/>
      <c r="AB16" s="182">
        <f>'Data for Table (Page1)'!AA44</f>
        <v>73742.8</v>
      </c>
      <c r="AC16" s="182">
        <f>'Data for Table (Page1)'!AB44</f>
        <v>81073.53</v>
      </c>
      <c r="AD16" s="182">
        <f>SUM(AD13:AD15)</f>
        <v>86429.849999999991</v>
      </c>
      <c r="AE16" s="182">
        <f>'Data for Table (Page1)'!AD44</f>
        <v>89034.17</v>
      </c>
      <c r="AF16" s="182">
        <f>'Data for Table (Page1)'!AE44</f>
        <v>90064.4</v>
      </c>
      <c r="AG16" s="182">
        <f>'Data for Table (Page1)'!AF44</f>
        <v>87824.54</v>
      </c>
      <c r="AH16" s="182">
        <f>'Data for Table (Page1)'!AG44</f>
        <v>92688.994000000006</v>
      </c>
      <c r="AI16" s="182">
        <f>SUM(AI13:AI15)</f>
        <v>85972</v>
      </c>
      <c r="AJ16" s="182">
        <f>SUM(AJ13:AJ15)</f>
        <v>83405.039999999994</v>
      </c>
      <c r="AK16" s="182">
        <f>SUM(AK13:AK15)</f>
        <v>90773</v>
      </c>
    </row>
    <row r="17" spans="1:37" s="39" customFormat="1" ht="14.25" customHeight="1">
      <c r="A17" s="186" t="s">
        <v>5</v>
      </c>
      <c r="B17" s="52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</row>
    <row r="18" spans="1:37" s="38" customFormat="1" ht="11.25" customHeight="1">
      <c r="A18" s="64"/>
      <c r="B18" s="65" t="s">
        <v>34</v>
      </c>
      <c r="C18" s="64"/>
      <c r="D18" s="66">
        <v>18547</v>
      </c>
      <c r="E18" s="66">
        <v>17670</v>
      </c>
      <c r="F18" s="66">
        <f>'Data for Table (Page1)'!F67</f>
        <v>18064</v>
      </c>
      <c r="G18" s="66">
        <f>'Data for Table (Page1)'!G67</f>
        <v>16171</v>
      </c>
      <c r="H18" s="66">
        <f>'Data for Table (Page1)'!H67</f>
        <v>16099</v>
      </c>
      <c r="I18" s="66">
        <f>'Data for Table (Page1)'!I67</f>
        <v>16783</v>
      </c>
      <c r="J18" s="66">
        <f>'Data for Table (Page1)'!J67</f>
        <v>18698</v>
      </c>
      <c r="K18" s="66">
        <f>'Data for Table (Page1)'!K67</f>
        <v>18518</v>
      </c>
      <c r="L18" s="66">
        <f>'Data for Table (Page1)'!L67</f>
        <v>17961</v>
      </c>
      <c r="M18" s="66">
        <f>'Data for Table (Page1)'!M67</f>
        <v>19590</v>
      </c>
      <c r="N18" s="66">
        <f>'Data for Table (Page1)'!N67</f>
        <v>19408</v>
      </c>
      <c r="O18" s="66">
        <f>'Data for Table (Page1)'!O67</f>
        <v>19240</v>
      </c>
      <c r="P18" s="66">
        <f>'Data for Table (Page1)'!P67</f>
        <v>19854</v>
      </c>
      <c r="Q18" s="66">
        <f>'Data for Table (Page1)'!Q67</f>
        <v>17786</v>
      </c>
      <c r="R18" s="66">
        <f>'Data for Table (Page1)'!R67</f>
        <v>17710</v>
      </c>
      <c r="S18" s="66">
        <f>'Data for Table (Page1)'!S67</f>
        <v>17696</v>
      </c>
      <c r="T18" s="66">
        <f>'Data for Table (Page1)'!T67</f>
        <v>18761</v>
      </c>
      <c r="U18" s="67">
        <f>'Data for Table (Page1)'!U67</f>
        <v>18937</v>
      </c>
      <c r="V18" s="67">
        <f>'Data for Table (Page1)'!V67</f>
        <v>19209</v>
      </c>
      <c r="W18" s="67">
        <f>'Data for Table (Page1)'!W67</f>
        <v>19197</v>
      </c>
      <c r="X18" s="67">
        <f>'Data for Table (Page1)'!X67</f>
        <v>19763</v>
      </c>
      <c r="Y18" s="67">
        <f>'Data for Table (Page1)'!Y67</f>
        <v>19108</v>
      </c>
      <c r="Z18" s="67">
        <f>'Data for Table (Page1)'!Z67</f>
        <v>19317</v>
      </c>
      <c r="AA18" s="67"/>
      <c r="AB18" s="67">
        <f>'Data for Table (Page1)'!AA67</f>
        <v>19525.370000000003</v>
      </c>
      <c r="AC18" s="67">
        <f>'Data for Table (Page1)'!AB67</f>
        <v>19776.18</v>
      </c>
      <c r="AD18" s="67">
        <v>19759.349999999999</v>
      </c>
      <c r="AE18" s="67">
        <f>'Data for Table (Page1)'!AD67</f>
        <v>19553.86</v>
      </c>
      <c r="AF18" s="67">
        <f>'Data for Table (Page1)'!AE67</f>
        <v>18547.64</v>
      </c>
      <c r="AG18" s="67">
        <f>'Data for Table (Page1)'!AF67</f>
        <v>19052.84</v>
      </c>
      <c r="AH18" s="67">
        <f>'Data for Table (Page1)'!AG67</f>
        <v>19223.96</v>
      </c>
      <c r="AI18" s="67">
        <f>'Data for Table (Page1)'!AH67</f>
        <v>20302.32</v>
      </c>
      <c r="AJ18" s="67">
        <f>'Data for Table (Page1)'!AI67</f>
        <v>20818.04</v>
      </c>
      <c r="AK18" s="67">
        <f>'Data for Table (Page1)'!AJ67</f>
        <v>20675</v>
      </c>
    </row>
    <row r="19" spans="1:37" s="38" customFormat="1" ht="11.25" customHeight="1">
      <c r="A19" s="64"/>
      <c r="B19" s="65" t="s">
        <v>35</v>
      </c>
      <c r="C19" s="64"/>
      <c r="D19" s="66">
        <v>15507</v>
      </c>
      <c r="E19" s="66">
        <v>16290</v>
      </c>
      <c r="F19" s="66">
        <f>'Data for Table (Page1)'!F68</f>
        <v>15764</v>
      </c>
      <c r="G19" s="66">
        <f>'Data for Table (Page1)'!G68</f>
        <v>14802</v>
      </c>
      <c r="H19" s="66">
        <f>'Data for Table (Page1)'!H68</f>
        <v>14989</v>
      </c>
      <c r="I19" s="66">
        <f>'Data for Table (Page1)'!I68</f>
        <v>13790</v>
      </c>
      <c r="J19" s="66">
        <f>'Data for Table (Page1)'!J68</f>
        <v>14887</v>
      </c>
      <c r="K19" s="66">
        <f>'Data for Table (Page1)'!K68</f>
        <v>14730</v>
      </c>
      <c r="L19" s="66">
        <f>'Data for Table (Page1)'!L68</f>
        <v>14908</v>
      </c>
      <c r="M19" s="66">
        <f>'Data for Table (Page1)'!M68</f>
        <v>16275</v>
      </c>
      <c r="N19" s="66">
        <f>'Data for Table (Page1)'!N68</f>
        <v>15610</v>
      </c>
      <c r="O19" s="66">
        <f>'Data for Table (Page1)'!O68</f>
        <v>16239</v>
      </c>
      <c r="P19" s="66">
        <f>'Data for Table (Page1)'!P68</f>
        <v>17311</v>
      </c>
      <c r="Q19" s="66">
        <f>'Data for Table (Page1)'!Q68</f>
        <v>17116</v>
      </c>
      <c r="R19" s="66">
        <f>'Data for Table (Page1)'!R68</f>
        <v>15789</v>
      </c>
      <c r="S19" s="66">
        <f>'Data for Table (Page1)'!S68</f>
        <v>16172</v>
      </c>
      <c r="T19" s="66">
        <f>'Data for Table (Page1)'!T68</f>
        <v>16182</v>
      </c>
      <c r="U19" s="67">
        <f>'Data for Table (Page1)'!U68</f>
        <v>15367</v>
      </c>
      <c r="V19" s="67">
        <f>'Data for Table (Page1)'!V68</f>
        <v>17491</v>
      </c>
      <c r="W19" s="67">
        <f>'Data for Table (Page1)'!W68</f>
        <v>17903</v>
      </c>
      <c r="X19" s="67">
        <f>'Data for Table (Page1)'!X68</f>
        <v>18578</v>
      </c>
      <c r="Y19" s="67">
        <f>'Data for Table (Page1)'!Y68</f>
        <v>18419</v>
      </c>
      <c r="Z19" s="67">
        <f>'Data for Table (Page1)'!Z68</f>
        <v>18920</v>
      </c>
      <c r="AA19" s="67"/>
      <c r="AB19" s="67">
        <f>'Data for Table (Page1)'!AA68</f>
        <v>18724.84</v>
      </c>
      <c r="AC19" s="67">
        <f>'Data for Table (Page1)'!AB68</f>
        <v>19378.64</v>
      </c>
      <c r="AD19" s="67">
        <v>19687.989999999998</v>
      </c>
      <c r="AE19" s="67">
        <f>'Data for Table (Page1)'!AD68</f>
        <v>20295.39</v>
      </c>
      <c r="AF19" s="67">
        <f>'Data for Table (Page1)'!AE68</f>
        <v>19628.79</v>
      </c>
      <c r="AG19" s="67">
        <f>'Data for Table (Page1)'!AF68</f>
        <v>20040.919999999998</v>
      </c>
      <c r="AH19" s="67">
        <f>'Data for Table (Page1)'!AG68</f>
        <v>19921.59</v>
      </c>
      <c r="AI19" s="67">
        <f>'Data for Table (Page1)'!AH68</f>
        <v>19823.3</v>
      </c>
      <c r="AJ19" s="67">
        <f>'Data for Table (Page1)'!AI68</f>
        <v>19673.400000000001</v>
      </c>
      <c r="AK19" s="67">
        <f>'Data for Table (Page1)'!AJ68</f>
        <v>21573</v>
      </c>
    </row>
    <row r="20" spans="1:37" s="38" customFormat="1" ht="11.25" customHeight="1">
      <c r="A20" s="64"/>
      <c r="B20" s="65" t="s">
        <v>36</v>
      </c>
      <c r="C20" s="64"/>
      <c r="D20" s="66">
        <v>2776</v>
      </c>
      <c r="E20" s="66">
        <v>2629</v>
      </c>
      <c r="F20" s="66">
        <f>'Data for Table (Page1)'!F69</f>
        <v>2426</v>
      </c>
      <c r="G20" s="66">
        <f>'Data for Table (Page1)'!G69</f>
        <v>2438</v>
      </c>
      <c r="H20" s="66">
        <f>'Data for Table (Page1)'!H69</f>
        <v>2296</v>
      </c>
      <c r="I20" s="66">
        <f>'Data for Table (Page1)'!I69</f>
        <v>2604</v>
      </c>
      <c r="J20" s="66">
        <f>'Data for Table (Page1)'!J69</f>
        <v>2372</v>
      </c>
      <c r="K20" s="66">
        <f>'Data for Table (Page1)'!K69</f>
        <v>2223</v>
      </c>
      <c r="L20" s="66">
        <f>'Data for Table (Page1)'!L69</f>
        <v>2134</v>
      </c>
      <c r="M20" s="66">
        <f>'Data for Table (Page1)'!M69</f>
        <v>2079</v>
      </c>
      <c r="N20" s="66">
        <f>'Data for Table (Page1)'!N69</f>
        <v>2153</v>
      </c>
      <c r="O20" s="66">
        <f>'Data for Table (Page1)'!O69</f>
        <v>2804</v>
      </c>
      <c r="P20" s="66">
        <f>'Data for Table (Page1)'!P69</f>
        <v>3247</v>
      </c>
      <c r="Q20" s="66">
        <f>'Data for Table (Page1)'!Q69</f>
        <v>3498</v>
      </c>
      <c r="R20" s="66">
        <f>'Data for Table (Page1)'!R69</f>
        <v>3328</v>
      </c>
      <c r="S20" s="66">
        <f>'Data for Table (Page1)'!S69</f>
        <v>3215</v>
      </c>
      <c r="T20" s="66">
        <f>'Data for Table (Page1)'!T69</f>
        <v>3666</v>
      </c>
      <c r="U20" s="67">
        <f>'Data for Table (Page1)'!U69</f>
        <v>3857</v>
      </c>
      <c r="V20" s="67">
        <f>'Data for Table (Page1)'!V69</f>
        <v>4183</v>
      </c>
      <c r="W20" s="67">
        <f>'Data for Table (Page1)'!W69</f>
        <v>5725</v>
      </c>
      <c r="X20" s="67">
        <f>'Data for Table (Page1)'!X69</f>
        <v>5565</v>
      </c>
      <c r="Y20" s="67">
        <f>'Data for Table (Page1)'!Y69</f>
        <v>6642</v>
      </c>
      <c r="Z20" s="67">
        <f>'Data for Table (Page1)'!Z69</f>
        <v>7204</v>
      </c>
      <c r="AA20" s="67"/>
      <c r="AB20" s="67">
        <f>'Data for Table (Page1)'!AA69</f>
        <v>6836.25</v>
      </c>
      <c r="AC20" s="67">
        <f>'Data for Table (Page1)'!AB69</f>
        <v>6667.25</v>
      </c>
      <c r="AD20" s="67">
        <v>6557.25</v>
      </c>
      <c r="AE20" s="67">
        <f>'Data for Table (Page1)'!AD69</f>
        <v>7119.3</v>
      </c>
      <c r="AF20" s="67">
        <f>'Data for Table (Page1)'!AE69</f>
        <v>7217.1360000000004</v>
      </c>
      <c r="AG20" s="67">
        <f>'Data for Table (Page1)'!AF69</f>
        <v>6711.3420000000006</v>
      </c>
      <c r="AH20" s="67">
        <f>'Data for Table (Page1)'!AG69</f>
        <v>6307.2350000000006</v>
      </c>
      <c r="AI20" s="67">
        <f>'Data for Table (Page1)'!AH69</f>
        <v>5985.9699999999993</v>
      </c>
      <c r="AJ20" s="67">
        <f>'Data for Table (Page1)'!AI69</f>
        <v>6298.96</v>
      </c>
      <c r="AK20" s="67">
        <f>'Data for Table (Page1)'!AJ69</f>
        <v>7007</v>
      </c>
    </row>
    <row r="21" spans="1:37" s="38" customFormat="1" ht="11.25" customHeight="1">
      <c r="A21" s="64"/>
      <c r="B21" s="65"/>
      <c r="C21" s="177" t="s">
        <v>20</v>
      </c>
      <c r="D21" s="178">
        <f t="shared" ref="D21:T21" si="0">SUM(D18:D20)</f>
        <v>36830</v>
      </c>
      <c r="E21" s="178">
        <f t="shared" si="0"/>
        <v>36589</v>
      </c>
      <c r="F21" s="178">
        <f t="shared" si="0"/>
        <v>36254</v>
      </c>
      <c r="G21" s="178">
        <f t="shared" si="0"/>
        <v>33411</v>
      </c>
      <c r="H21" s="178">
        <f t="shared" si="0"/>
        <v>33384</v>
      </c>
      <c r="I21" s="178">
        <f t="shared" si="0"/>
        <v>33177</v>
      </c>
      <c r="J21" s="178">
        <f t="shared" si="0"/>
        <v>35957</v>
      </c>
      <c r="K21" s="178">
        <f t="shared" si="0"/>
        <v>35471</v>
      </c>
      <c r="L21" s="178">
        <f t="shared" si="0"/>
        <v>35003</v>
      </c>
      <c r="M21" s="178">
        <f t="shared" si="0"/>
        <v>37944</v>
      </c>
      <c r="N21" s="178">
        <f t="shared" si="0"/>
        <v>37171</v>
      </c>
      <c r="O21" s="178">
        <f t="shared" si="0"/>
        <v>38283</v>
      </c>
      <c r="P21" s="178">
        <f t="shared" si="0"/>
        <v>40412</v>
      </c>
      <c r="Q21" s="178">
        <f t="shared" si="0"/>
        <v>38400</v>
      </c>
      <c r="R21" s="178">
        <f t="shared" si="0"/>
        <v>36827</v>
      </c>
      <c r="S21" s="178">
        <f t="shared" si="0"/>
        <v>37083</v>
      </c>
      <c r="T21" s="178">
        <f t="shared" si="0"/>
        <v>38609</v>
      </c>
      <c r="U21" s="179">
        <f t="shared" ref="U21:AD21" si="1">SUM(U18:U20)</f>
        <v>38161</v>
      </c>
      <c r="V21" s="179">
        <f t="shared" si="1"/>
        <v>40883</v>
      </c>
      <c r="W21" s="179">
        <f t="shared" si="1"/>
        <v>42825</v>
      </c>
      <c r="X21" s="179">
        <f t="shared" si="1"/>
        <v>43906</v>
      </c>
      <c r="Y21" s="179">
        <f t="shared" si="1"/>
        <v>44169</v>
      </c>
      <c r="Z21" s="179">
        <f t="shared" si="1"/>
        <v>45441</v>
      </c>
      <c r="AA21" s="179"/>
      <c r="AB21" s="179">
        <f t="shared" si="1"/>
        <v>45086.460000000006</v>
      </c>
      <c r="AC21" s="179">
        <f t="shared" si="1"/>
        <v>45822.07</v>
      </c>
      <c r="AD21" s="179">
        <f t="shared" si="1"/>
        <v>46004.59</v>
      </c>
      <c r="AE21" s="179">
        <f t="shared" ref="AE21" si="2">SUM(AE18:AE20)</f>
        <v>46968.55</v>
      </c>
      <c r="AF21" s="179">
        <f t="shared" ref="AF21:AK21" si="3">SUM(AF18:AF20)</f>
        <v>45393.565999999999</v>
      </c>
      <c r="AG21" s="179">
        <f t="shared" si="3"/>
        <v>45805.101999999999</v>
      </c>
      <c r="AH21" s="179">
        <f t="shared" ref="AH21:AJ21" si="4">SUM(AH18:AH20)</f>
        <v>45452.785000000003</v>
      </c>
      <c r="AI21" s="179">
        <f t="shared" si="4"/>
        <v>46111.59</v>
      </c>
      <c r="AJ21" s="179">
        <f t="shared" si="4"/>
        <v>46790.400000000001</v>
      </c>
      <c r="AK21" s="179">
        <f t="shared" si="3"/>
        <v>49255</v>
      </c>
    </row>
    <row r="22" spans="1:37" s="39" customFormat="1" ht="12" hidden="1">
      <c r="A22" s="41" t="s">
        <v>6</v>
      </c>
      <c r="B22" s="41"/>
      <c r="C22" s="41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</row>
    <row r="23" spans="1:37" s="39" customFormat="1" ht="12" hidden="1">
      <c r="B23" s="20" t="s">
        <v>34</v>
      </c>
      <c r="D23" s="40">
        <v>18829</v>
      </c>
      <c r="E23" s="40">
        <f>18805-24</f>
        <v>18781</v>
      </c>
      <c r="F23" s="40">
        <f>'Data for Table (Page1)'!F89</f>
        <v>17590</v>
      </c>
      <c r="G23" s="40">
        <f>'Data for Table (Page1)'!G89</f>
        <v>16165</v>
      </c>
      <c r="H23" s="40">
        <f>'Data for Table (Page1)'!H89</f>
        <v>17039</v>
      </c>
      <c r="I23" s="40">
        <f>'Data for Table (Page1)'!I89</f>
        <v>17324</v>
      </c>
      <c r="J23" s="40">
        <f>'Data for Table (Page1)'!J89</f>
        <v>16688</v>
      </c>
      <c r="K23" s="40">
        <f>'Data for Table (Page1)'!K89</f>
        <v>16840</v>
      </c>
      <c r="L23" s="40">
        <f>'Data for Table (Page1)'!L89</f>
        <v>17636</v>
      </c>
      <c r="M23" s="40">
        <f>'Data for Table (Page1)'!M89</f>
        <v>16225</v>
      </c>
      <c r="N23" s="40">
        <f>'Data for Table (Page1)'!N89</f>
        <v>17588</v>
      </c>
      <c r="O23" s="40">
        <f>'Data for Table (Page1)'!O89</f>
        <v>18810</v>
      </c>
      <c r="P23" s="40">
        <f>'Data for Table (Page1)'!P89</f>
        <v>17057</v>
      </c>
      <c r="Q23" s="40">
        <f>'Data for Table (Page1)'!Q89</f>
        <v>12810</v>
      </c>
      <c r="R23" s="42">
        <f>'Data for Table (Page1)'!R89</f>
        <v>0</v>
      </c>
      <c r="S23" s="42">
        <f>'Data for Table (Page1)'!S89</f>
        <v>0</v>
      </c>
      <c r="T23" s="42">
        <f>'Data for Table (Page1)'!T89</f>
        <v>0</v>
      </c>
      <c r="U23" s="57">
        <f>'Data for Table (Page1)'!U89</f>
        <v>0</v>
      </c>
      <c r="V23" s="57">
        <f>'Data for Table (Page1)'!V89</f>
        <v>0</v>
      </c>
      <c r="W23" s="57">
        <f>'Data for Table (Page1)'!W89</f>
        <v>0</v>
      </c>
      <c r="X23" s="57">
        <f>'Data for Table (Page1)'!X89</f>
        <v>0</v>
      </c>
      <c r="Y23" s="57">
        <f>'Data for Table (Page1)'!Y89</f>
        <v>0</v>
      </c>
      <c r="Z23" s="57">
        <f>'Data for Table (Page1)'!Z89</f>
        <v>0</v>
      </c>
      <c r="AA23" s="57"/>
      <c r="AB23" s="57">
        <f>'Data for Table (Page1)'!AA89</f>
        <v>0</v>
      </c>
      <c r="AC23" s="57">
        <f>'Data for Table (Page1)'!AB89</f>
        <v>0</v>
      </c>
      <c r="AD23" s="57">
        <f>'Data for Table (Page1)'!AC89</f>
        <v>0</v>
      </c>
      <c r="AE23" s="57">
        <f>'Data for Table (Page1)'!AD89</f>
        <v>0</v>
      </c>
      <c r="AF23" s="57">
        <f>'Data for Table (Page1)'!AE89</f>
        <v>0</v>
      </c>
      <c r="AG23" s="57">
        <f>'Data for Table (Page1)'!AF89</f>
        <v>0</v>
      </c>
      <c r="AH23" s="57">
        <f>'Data for Table (Page1)'!AG89</f>
        <v>0</v>
      </c>
      <c r="AI23" s="57">
        <f>'Data for Table (Page1)'!AG89</f>
        <v>0</v>
      </c>
      <c r="AJ23" s="57">
        <f>'Data for Table (Page1)'!AG89</f>
        <v>0</v>
      </c>
      <c r="AK23" s="57">
        <f>'Data for Table (Page1)'!AH89</f>
        <v>0</v>
      </c>
    </row>
    <row r="24" spans="1:37" s="39" customFormat="1" ht="12" hidden="1">
      <c r="B24" s="20" t="s">
        <v>35</v>
      </c>
      <c r="D24" s="40">
        <v>22849</v>
      </c>
      <c r="E24" s="40">
        <f>23089-82</f>
        <v>23007</v>
      </c>
      <c r="F24" s="40">
        <f>'Data for Table (Page1)'!F90</f>
        <v>21938</v>
      </c>
      <c r="G24" s="40">
        <f>'Data for Table (Page1)'!G90</f>
        <v>21817</v>
      </c>
      <c r="H24" s="40">
        <f>'Data for Table (Page1)'!H90</f>
        <v>21873</v>
      </c>
      <c r="I24" s="40">
        <f>'Data for Table (Page1)'!I90</f>
        <v>21588</v>
      </c>
      <c r="J24" s="40">
        <f>'Data for Table (Page1)'!J90</f>
        <v>22326</v>
      </c>
      <c r="K24" s="40">
        <f>'Data for Table (Page1)'!K90</f>
        <v>22311</v>
      </c>
      <c r="L24" s="40">
        <f>'Data for Table (Page1)'!L90</f>
        <v>22594</v>
      </c>
      <c r="M24" s="40">
        <f>'Data for Table (Page1)'!M90</f>
        <v>24063</v>
      </c>
      <c r="N24" s="40">
        <f>'Data for Table (Page1)'!N90</f>
        <v>24179</v>
      </c>
      <c r="O24" s="40">
        <f>'Data for Table (Page1)'!O90</f>
        <v>24409</v>
      </c>
      <c r="P24" s="40">
        <f>'Data for Table (Page1)'!P90</f>
        <v>23667</v>
      </c>
      <c r="Q24" s="40">
        <f>'Data for Table (Page1)'!Q90</f>
        <v>20981</v>
      </c>
      <c r="R24" s="42">
        <f>'Data for Table (Page1)'!R90</f>
        <v>0</v>
      </c>
      <c r="S24" s="42">
        <f>'Data for Table (Page1)'!S90</f>
        <v>0</v>
      </c>
      <c r="T24" s="42">
        <f>'Data for Table (Page1)'!T90</f>
        <v>0</v>
      </c>
      <c r="U24" s="57">
        <f>'Data for Table (Page1)'!U90</f>
        <v>0</v>
      </c>
      <c r="V24" s="57">
        <f>'Data for Table (Page1)'!V90</f>
        <v>0</v>
      </c>
      <c r="W24" s="57">
        <f>'Data for Table (Page1)'!W90</f>
        <v>0</v>
      </c>
      <c r="X24" s="57">
        <f>'Data for Table (Page1)'!X90</f>
        <v>0</v>
      </c>
      <c r="Y24" s="57">
        <f>'Data for Table (Page1)'!Y90</f>
        <v>0</v>
      </c>
      <c r="Z24" s="57">
        <f>'Data for Table (Page1)'!Z90</f>
        <v>0</v>
      </c>
      <c r="AA24" s="57"/>
      <c r="AB24" s="57">
        <f>'Data for Table (Page1)'!AA90</f>
        <v>0</v>
      </c>
      <c r="AC24" s="57">
        <f>'Data for Table (Page1)'!AB90</f>
        <v>0</v>
      </c>
      <c r="AD24" s="57">
        <f>'Data for Table (Page1)'!AC90</f>
        <v>0</v>
      </c>
      <c r="AE24" s="57">
        <f>'Data for Table (Page1)'!AD90</f>
        <v>0</v>
      </c>
      <c r="AF24" s="57">
        <f>'Data for Table (Page1)'!AE90</f>
        <v>0</v>
      </c>
      <c r="AG24" s="57">
        <f>'Data for Table (Page1)'!AF90</f>
        <v>0</v>
      </c>
      <c r="AH24" s="57">
        <f>'Data for Table (Page1)'!AG90</f>
        <v>0</v>
      </c>
      <c r="AI24" s="57">
        <f>'Data for Table (Page1)'!AG90</f>
        <v>0</v>
      </c>
      <c r="AJ24" s="57">
        <f>'Data for Table (Page1)'!AG90</f>
        <v>0</v>
      </c>
      <c r="AK24" s="57">
        <f>'Data for Table (Page1)'!AH90</f>
        <v>0</v>
      </c>
    </row>
    <row r="25" spans="1:37" s="39" customFormat="1" ht="12" hidden="1">
      <c r="B25" s="20" t="s">
        <v>36</v>
      </c>
      <c r="D25" s="40">
        <v>8715</v>
      </c>
      <c r="E25" s="40">
        <v>7313</v>
      </c>
      <c r="F25" s="40">
        <f>'Data for Table (Page1)'!F91</f>
        <v>6665</v>
      </c>
      <c r="G25" s="40">
        <f>'Data for Table (Page1)'!G91</f>
        <v>7329</v>
      </c>
      <c r="H25" s="40">
        <f>'Data for Table (Page1)'!H91</f>
        <v>7336</v>
      </c>
      <c r="I25" s="40">
        <f>'Data for Table (Page1)'!I91</f>
        <v>7549</v>
      </c>
      <c r="J25" s="40">
        <f>'Data for Table (Page1)'!J91</f>
        <v>7315</v>
      </c>
      <c r="K25" s="40">
        <f>'Data for Table (Page1)'!K91</f>
        <v>6779</v>
      </c>
      <c r="L25" s="40">
        <f>'Data for Table (Page1)'!L91</f>
        <v>7960</v>
      </c>
      <c r="M25" s="40">
        <f>'Data for Table (Page1)'!M91</f>
        <v>8200</v>
      </c>
      <c r="N25" s="40">
        <f>'Data for Table (Page1)'!N91</f>
        <v>7345</v>
      </c>
      <c r="O25" s="40">
        <f>'Data for Table (Page1)'!O91</f>
        <v>7777</v>
      </c>
      <c r="P25" s="40">
        <f>'Data for Table (Page1)'!P91</f>
        <v>7932</v>
      </c>
      <c r="Q25" s="40">
        <f>'Data for Table (Page1)'!Q91</f>
        <v>6748</v>
      </c>
      <c r="R25" s="42">
        <f>'Data for Table (Page1)'!R91</f>
        <v>0</v>
      </c>
      <c r="S25" s="42">
        <f>'Data for Table (Page1)'!S91</f>
        <v>0</v>
      </c>
      <c r="T25" s="42">
        <f>'Data for Table (Page1)'!T91</f>
        <v>0</v>
      </c>
      <c r="U25" s="57">
        <f>'Data for Table (Page1)'!U91</f>
        <v>0</v>
      </c>
      <c r="V25" s="57">
        <f>'Data for Table (Page1)'!V91</f>
        <v>0</v>
      </c>
      <c r="W25" s="57">
        <f>'Data for Table (Page1)'!W91</f>
        <v>0</v>
      </c>
      <c r="X25" s="57">
        <f>'Data for Table (Page1)'!X91</f>
        <v>0</v>
      </c>
      <c r="Y25" s="57">
        <f>'Data for Table (Page1)'!Y91</f>
        <v>0</v>
      </c>
      <c r="Z25" s="57">
        <f>'Data for Table (Page1)'!Z91</f>
        <v>0</v>
      </c>
      <c r="AA25" s="57"/>
      <c r="AB25" s="57">
        <f>'Data for Table (Page1)'!AA91</f>
        <v>0</v>
      </c>
      <c r="AC25" s="57">
        <f>'Data for Table (Page1)'!AB91</f>
        <v>0</v>
      </c>
      <c r="AD25" s="57">
        <f>'Data for Table (Page1)'!AC91</f>
        <v>0</v>
      </c>
      <c r="AE25" s="57">
        <f>'Data for Table (Page1)'!AD91</f>
        <v>0</v>
      </c>
      <c r="AF25" s="57">
        <f>'Data for Table (Page1)'!AE91</f>
        <v>0</v>
      </c>
      <c r="AG25" s="57">
        <f>'Data for Table (Page1)'!AF91</f>
        <v>0</v>
      </c>
      <c r="AH25" s="57">
        <f>'Data for Table (Page1)'!AG91</f>
        <v>0</v>
      </c>
      <c r="AI25" s="57">
        <f>'Data for Table (Page1)'!AG91</f>
        <v>0</v>
      </c>
      <c r="AJ25" s="57">
        <f>'Data for Table (Page1)'!AG91</f>
        <v>0</v>
      </c>
      <c r="AK25" s="57">
        <f>'Data for Table (Page1)'!AH91</f>
        <v>0</v>
      </c>
    </row>
    <row r="26" spans="1:37" s="39" customFormat="1" ht="12" hidden="1">
      <c r="B26" s="20"/>
      <c r="C26" s="20" t="s">
        <v>20</v>
      </c>
      <c r="D26" s="40">
        <f t="shared" ref="D26:T26" si="5">SUM(D23:D25)</f>
        <v>50393</v>
      </c>
      <c r="E26" s="40">
        <f t="shared" si="5"/>
        <v>49101</v>
      </c>
      <c r="F26" s="40">
        <f t="shared" si="5"/>
        <v>46193</v>
      </c>
      <c r="G26" s="40">
        <f t="shared" si="5"/>
        <v>45311</v>
      </c>
      <c r="H26" s="40">
        <f t="shared" si="5"/>
        <v>46248</v>
      </c>
      <c r="I26" s="40">
        <f t="shared" si="5"/>
        <v>46461</v>
      </c>
      <c r="J26" s="40">
        <f t="shared" si="5"/>
        <v>46329</v>
      </c>
      <c r="K26" s="40">
        <f t="shared" si="5"/>
        <v>45930</v>
      </c>
      <c r="L26" s="40">
        <f t="shared" si="5"/>
        <v>48190</v>
      </c>
      <c r="M26" s="40">
        <f t="shared" si="5"/>
        <v>48488</v>
      </c>
      <c r="N26" s="40">
        <f t="shared" si="5"/>
        <v>49112</v>
      </c>
      <c r="O26" s="40">
        <f t="shared" si="5"/>
        <v>50996</v>
      </c>
      <c r="P26" s="40">
        <f t="shared" si="5"/>
        <v>48656</v>
      </c>
      <c r="Q26" s="40">
        <f t="shared" si="5"/>
        <v>40539</v>
      </c>
      <c r="R26" s="42">
        <f t="shared" si="5"/>
        <v>0</v>
      </c>
      <c r="S26" s="42">
        <f t="shared" si="5"/>
        <v>0</v>
      </c>
      <c r="T26" s="42">
        <f t="shared" si="5"/>
        <v>0</v>
      </c>
      <c r="U26" s="57">
        <f t="shared" ref="U26:AD26" si="6">SUM(U23:U25)</f>
        <v>0</v>
      </c>
      <c r="V26" s="57">
        <f t="shared" si="6"/>
        <v>0</v>
      </c>
      <c r="W26" s="57">
        <f t="shared" si="6"/>
        <v>0</v>
      </c>
      <c r="X26" s="57">
        <f t="shared" si="6"/>
        <v>0</v>
      </c>
      <c r="Y26" s="57">
        <f t="shared" si="6"/>
        <v>0</v>
      </c>
      <c r="Z26" s="57">
        <f t="shared" si="6"/>
        <v>0</v>
      </c>
      <c r="AA26" s="57"/>
      <c r="AB26" s="57">
        <f t="shared" si="6"/>
        <v>0</v>
      </c>
      <c r="AC26" s="57">
        <f t="shared" si="6"/>
        <v>0</v>
      </c>
      <c r="AD26" s="57">
        <f t="shared" si="6"/>
        <v>0</v>
      </c>
      <c r="AE26" s="57">
        <f t="shared" ref="AE26" si="7">SUM(AE23:AE25)</f>
        <v>0</v>
      </c>
      <c r="AF26" s="57">
        <f t="shared" ref="AF26:AK26" si="8">SUM(AF23:AF25)</f>
        <v>0</v>
      </c>
      <c r="AG26" s="57">
        <f t="shared" si="8"/>
        <v>0</v>
      </c>
      <c r="AH26" s="57">
        <f t="shared" ref="AH26:AJ26" si="9">SUM(AH23:AH25)</f>
        <v>0</v>
      </c>
      <c r="AI26" s="57">
        <f t="shared" si="9"/>
        <v>0</v>
      </c>
      <c r="AJ26" s="57">
        <f t="shared" si="9"/>
        <v>0</v>
      </c>
      <c r="AK26" s="57">
        <f t="shared" si="8"/>
        <v>0</v>
      </c>
    </row>
    <row r="27" spans="1:37" s="39" customFormat="1" ht="14.25" customHeight="1">
      <c r="A27" s="4" t="s">
        <v>7</v>
      </c>
      <c r="B27" s="41"/>
      <c r="C27" s="41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</row>
    <row r="28" spans="1:37" s="38" customFormat="1" ht="11.25" customHeight="1">
      <c r="B28" s="37" t="s">
        <v>34</v>
      </c>
      <c r="D28" s="36">
        <v>20540</v>
      </c>
      <c r="E28" s="36">
        <v>21633</v>
      </c>
      <c r="F28" s="36">
        <f>'Data for Table (Page1)'!F114</f>
        <v>21403</v>
      </c>
      <c r="G28" s="36">
        <f>'Data for Table (Page1)'!G114</f>
        <v>19664</v>
      </c>
      <c r="H28" s="36">
        <f>'Data for Table (Page1)'!H114</f>
        <v>20135</v>
      </c>
      <c r="I28" s="36">
        <f>'Data for Table (Page1)'!I114</f>
        <v>20776</v>
      </c>
      <c r="J28" s="36">
        <f>'Data for Table (Page1)'!J114</f>
        <v>20534</v>
      </c>
      <c r="K28" s="36">
        <f>'Data for Table (Page1)'!K114</f>
        <v>20936</v>
      </c>
      <c r="L28" s="36">
        <f>'Data for Table (Page1)'!L114</f>
        <v>21761</v>
      </c>
      <c r="M28" s="36">
        <f>'Data for Table (Page1)'!M114</f>
        <v>22843</v>
      </c>
      <c r="N28" s="36">
        <f>'Data for Table (Page1)'!N114</f>
        <v>24283</v>
      </c>
      <c r="O28" s="36">
        <f>'Data for Table (Page1)'!O114</f>
        <v>25864</v>
      </c>
      <c r="P28" s="36">
        <f>'Data for Table (Page1)'!P114</f>
        <v>23378</v>
      </c>
      <c r="Q28" s="36">
        <f>'Data for Table (Page1)'!Q114</f>
        <v>23597</v>
      </c>
      <c r="R28" s="36">
        <f>'Data for Table (Page1)'!R114</f>
        <v>21798</v>
      </c>
      <c r="S28" s="36">
        <f>'Data for Table (Page1)'!S114</f>
        <v>20970</v>
      </c>
      <c r="T28" s="36">
        <f>'Data for Table (Page1)'!T114</f>
        <v>23155</v>
      </c>
      <c r="U28" s="58">
        <f>'Data for Table (Page1)'!U114</f>
        <v>24913</v>
      </c>
      <c r="V28" s="58">
        <f>'Data for Table (Page1)'!V114</f>
        <v>26266</v>
      </c>
      <c r="W28" s="58">
        <f>'Data for Table (Page1)'!W114</f>
        <v>29591</v>
      </c>
      <c r="X28" s="58">
        <f>'Data for Table (Page1)'!X114</f>
        <v>33454</v>
      </c>
      <c r="Y28" s="58">
        <f>'Data for Table (Page1)'!Y114</f>
        <v>36546</v>
      </c>
      <c r="Z28" s="58">
        <f>'Data for Table (Page1)'!Z114</f>
        <v>39931</v>
      </c>
      <c r="AA28" s="58"/>
      <c r="AB28" s="58">
        <f>'Data for Table (Page1)'!AA114</f>
        <v>40899</v>
      </c>
      <c r="AC28" s="58">
        <f>'Data for Table (Page1)'!AB114</f>
        <v>43910.600000000006</v>
      </c>
      <c r="AD28" s="58">
        <v>45736.994999999995</v>
      </c>
      <c r="AE28" s="58">
        <f>'Data for Table (Page1)'!AD114</f>
        <v>44500.869999999995</v>
      </c>
      <c r="AF28" s="58">
        <f>'Data for Table (Page1)'!AE114</f>
        <v>44226.396999999997</v>
      </c>
      <c r="AG28" s="58">
        <f>'Data for Table (Page1)'!AF114</f>
        <v>40164.695999999996</v>
      </c>
      <c r="AH28" s="58">
        <f>'Data for Table (Page1)'!AG114</f>
        <v>37579.831999999995</v>
      </c>
      <c r="AI28" s="58">
        <f>'Data for Table (Page1)'!AH114</f>
        <v>33788.033000000003</v>
      </c>
      <c r="AJ28" s="58">
        <f>'Data for Table (Page1)'!AI114</f>
        <v>34837.770000000004</v>
      </c>
      <c r="AK28" s="58">
        <f>'Data for Table (Page1)'!AJ114</f>
        <v>40443</v>
      </c>
    </row>
    <row r="29" spans="1:37" s="38" customFormat="1" ht="11.25" customHeight="1">
      <c r="B29" s="37" t="s">
        <v>35</v>
      </c>
      <c r="D29" s="36">
        <v>37867</v>
      </c>
      <c r="E29" s="36">
        <f>37628-21</f>
        <v>37607</v>
      </c>
      <c r="F29" s="36">
        <f>'Data for Table (Page1)'!F115</f>
        <v>38338</v>
      </c>
      <c r="G29" s="36">
        <f>'Data for Table (Page1)'!G115</f>
        <v>39167</v>
      </c>
      <c r="H29" s="36">
        <f>'Data for Table (Page1)'!H115</f>
        <v>37166</v>
      </c>
      <c r="I29" s="36">
        <f>'Data for Table (Page1)'!I115</f>
        <v>37677</v>
      </c>
      <c r="J29" s="36">
        <f>'Data for Table (Page1)'!J115</f>
        <v>37091</v>
      </c>
      <c r="K29" s="36">
        <f>'Data for Table (Page1)'!K115</f>
        <v>36645</v>
      </c>
      <c r="L29" s="36">
        <f>'Data for Table (Page1)'!L115</f>
        <v>37147</v>
      </c>
      <c r="M29" s="36">
        <f>'Data for Table (Page1)'!M115</f>
        <v>36555</v>
      </c>
      <c r="N29" s="36">
        <f>'Data for Table (Page1)'!N115</f>
        <v>42511</v>
      </c>
      <c r="O29" s="36">
        <f>'Data for Table (Page1)'!O115</f>
        <v>43385</v>
      </c>
      <c r="P29" s="36">
        <f>'Data for Table (Page1)'!P115</f>
        <v>44460</v>
      </c>
      <c r="Q29" s="36">
        <f>'Data for Table (Page1)'!Q115</f>
        <v>42716</v>
      </c>
      <c r="R29" s="36">
        <f>'Data for Table (Page1)'!R115</f>
        <v>41942</v>
      </c>
      <c r="S29" s="36">
        <f>'Data for Table (Page1)'!S115</f>
        <v>40978</v>
      </c>
      <c r="T29" s="36">
        <f>'Data for Table (Page1)'!T115</f>
        <v>39169</v>
      </c>
      <c r="U29" s="58">
        <f>'Data for Table (Page1)'!U115</f>
        <v>40726</v>
      </c>
      <c r="V29" s="58">
        <f>'Data for Table (Page1)'!V115</f>
        <v>44217</v>
      </c>
      <c r="W29" s="58">
        <f>'Data for Table (Page1)'!W115</f>
        <v>45993</v>
      </c>
      <c r="X29" s="58">
        <f>'Data for Table (Page1)'!X115</f>
        <v>50529</v>
      </c>
      <c r="Y29" s="58">
        <f>'Data for Table (Page1)'!Y115</f>
        <v>54838</v>
      </c>
      <c r="Z29" s="58">
        <f>'Data for Table (Page1)'!Z115</f>
        <v>57950</v>
      </c>
      <c r="AA29" s="58"/>
      <c r="AB29" s="58">
        <f>'Data for Table (Page1)'!AA115</f>
        <v>61215.42</v>
      </c>
      <c r="AC29" s="58">
        <f>'Data for Table (Page1)'!AB115</f>
        <v>65505.989999999991</v>
      </c>
      <c r="AD29" s="58">
        <v>69491.608000000007</v>
      </c>
      <c r="AE29" s="58">
        <f>'Data for Table (Page1)'!AD115</f>
        <v>73602.880000000005</v>
      </c>
      <c r="AF29" s="58">
        <f>'Data for Table (Page1)'!AE115</f>
        <v>75076.597999999998</v>
      </c>
      <c r="AG29" s="58">
        <f>'Data for Table (Page1)'!AF115</f>
        <v>72241.91</v>
      </c>
      <c r="AH29" s="58">
        <f>'Data for Table (Page1)'!AG115</f>
        <v>71888.097999999998</v>
      </c>
      <c r="AI29" s="58">
        <f>'Data for Table (Page1)'!AH115</f>
        <v>63000.847999999998</v>
      </c>
      <c r="AJ29" s="58">
        <f>'Data for Table (Page1)'!AI115</f>
        <v>58343.45</v>
      </c>
      <c r="AK29" s="58">
        <f>'Data for Table (Page1)'!AJ115</f>
        <v>55131</v>
      </c>
    </row>
    <row r="30" spans="1:37" s="38" customFormat="1" ht="11.25" customHeight="1">
      <c r="B30" s="37" t="s">
        <v>37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58"/>
      <c r="V30" s="58"/>
      <c r="W30" s="58"/>
      <c r="X30" s="58"/>
      <c r="Y30" s="58"/>
      <c r="Z30" s="58"/>
      <c r="AA30" s="58"/>
      <c r="AB30" s="58">
        <f>'Data for Table (Page1)'!AA116</f>
        <v>12.96</v>
      </c>
      <c r="AC30" s="58">
        <f>'Data for Table (Page1)'!AB116</f>
        <v>11.16</v>
      </c>
      <c r="AD30" s="58">
        <v>17.64</v>
      </c>
      <c r="AE30" s="58">
        <f>'Data for Table (Page1)'!AD116</f>
        <v>19.149999999999999</v>
      </c>
      <c r="AF30" s="58">
        <f>'Data for Table (Page1)'!AE116</f>
        <v>16.920000000000002</v>
      </c>
      <c r="AG30" s="58">
        <f>'Data for Table (Page1)'!AF116</f>
        <v>12.24</v>
      </c>
      <c r="AH30" s="58">
        <f>'Data for Table (Page1)'!AG116</f>
        <v>0</v>
      </c>
      <c r="AI30" s="58">
        <f>'Data for Table (Page1)'!AH116</f>
        <v>0</v>
      </c>
      <c r="AJ30" s="58">
        <f>'Data for Table (Page1)'!AI116</f>
        <v>0</v>
      </c>
      <c r="AK30" s="58">
        <f>'Data for Table (Page1)'!AJ116</f>
        <v>0</v>
      </c>
    </row>
    <row r="31" spans="1:37" s="38" customFormat="1" ht="11.25" customHeight="1">
      <c r="B31" s="37" t="s">
        <v>36</v>
      </c>
      <c r="D31" s="36">
        <v>12456</v>
      </c>
      <c r="E31" s="36">
        <v>14029</v>
      </c>
      <c r="F31" s="36">
        <f>'Data for Table (Page1)'!F117</f>
        <v>13890</v>
      </c>
      <c r="G31" s="36">
        <f>'Data for Table (Page1)'!G117</f>
        <v>13265</v>
      </c>
      <c r="H31" s="36">
        <f>'Data for Table (Page1)'!H117</f>
        <v>12262</v>
      </c>
      <c r="I31" s="36">
        <f>'Data for Table (Page1)'!I117</f>
        <v>12474</v>
      </c>
      <c r="J31" s="36">
        <f>'Data for Table (Page1)'!J117</f>
        <v>12558</v>
      </c>
      <c r="K31" s="36">
        <f>'Data for Table (Page1)'!K117</f>
        <v>12643</v>
      </c>
      <c r="L31" s="36">
        <f>'Data for Table (Page1)'!L117</f>
        <v>12890</v>
      </c>
      <c r="M31" s="36">
        <f>'Data for Table (Page1)'!M117</f>
        <v>13017</v>
      </c>
      <c r="N31" s="36">
        <f>'Data for Table (Page1)'!N117</f>
        <v>13289</v>
      </c>
      <c r="O31" s="36">
        <f>'Data for Table (Page1)'!O117</f>
        <v>14533</v>
      </c>
      <c r="P31" s="36">
        <f>'Data for Table (Page1)'!P117</f>
        <v>15650</v>
      </c>
      <c r="Q31" s="36">
        <f>'Data for Table (Page1)'!Q117</f>
        <v>15289</v>
      </c>
      <c r="R31" s="36">
        <f>'Data for Table (Page1)'!R117</f>
        <v>14136</v>
      </c>
      <c r="S31" s="36">
        <f>'Data for Table (Page1)'!S117</f>
        <v>13834</v>
      </c>
      <c r="T31" s="36">
        <f>'Data for Table (Page1)'!T117</f>
        <v>14892</v>
      </c>
      <c r="U31" s="58">
        <f>'Data for Table (Page1)'!U117</f>
        <v>15230</v>
      </c>
      <c r="V31" s="58">
        <f>'Data for Table (Page1)'!V117</f>
        <v>17050</v>
      </c>
      <c r="W31" s="58">
        <f>'Data for Table (Page1)'!W117</f>
        <v>17181</v>
      </c>
      <c r="X31" s="58">
        <f>'Data for Table (Page1)'!X117</f>
        <v>15487</v>
      </c>
      <c r="Y31" s="58">
        <f>'Data for Table (Page1)'!Y117</f>
        <v>17484</v>
      </c>
      <c r="Z31" s="58">
        <f>'Data for Table (Page1)'!Z117</f>
        <v>18520</v>
      </c>
      <c r="AA31" s="58"/>
      <c r="AB31" s="58">
        <f>'Data for Table (Page1)'!AA117</f>
        <v>20741.120000000003</v>
      </c>
      <c r="AC31" s="58">
        <f>'Data for Table (Page1)'!AB117</f>
        <v>22006.550000000003</v>
      </c>
      <c r="AD31" s="58">
        <v>21877.035200000002</v>
      </c>
      <c r="AE31" s="58">
        <f>'Data for Table (Page1)'!AD117</f>
        <v>21977.260000000002</v>
      </c>
      <c r="AF31" s="58">
        <f>'Data for Table (Page1)'!AE117</f>
        <v>20234.713000000003</v>
      </c>
      <c r="AG31" s="58">
        <f>'Data for Table (Page1)'!AF117</f>
        <v>17046.648999999998</v>
      </c>
      <c r="AH31" s="58">
        <f>'Data for Table (Page1)'!AG117</f>
        <v>16700.839</v>
      </c>
      <c r="AI31" s="58">
        <f>'Data for Table (Page1)'!AH117</f>
        <v>15358.508</v>
      </c>
      <c r="AJ31" s="58">
        <f>'Data for Table (Page1)'!AI117</f>
        <v>15743.8</v>
      </c>
      <c r="AK31" s="58">
        <f>'Data for Table (Page1)'!AJ117</f>
        <v>18377</v>
      </c>
    </row>
    <row r="32" spans="1:37" s="38" customFormat="1" ht="11.25" customHeight="1">
      <c r="B32" s="37"/>
      <c r="C32" s="180" t="s">
        <v>20</v>
      </c>
      <c r="D32" s="181">
        <f>SUM(D28:D31)</f>
        <v>70863</v>
      </c>
      <c r="E32" s="181">
        <f>SUM(E28:E31)</f>
        <v>73269</v>
      </c>
      <c r="F32" s="181">
        <f t="shared" ref="F32:T32" si="10">SUM(F28:F31)</f>
        <v>73631</v>
      </c>
      <c r="G32" s="181">
        <f t="shared" si="10"/>
        <v>72096</v>
      </c>
      <c r="H32" s="181">
        <f t="shared" si="10"/>
        <v>69563</v>
      </c>
      <c r="I32" s="181">
        <f t="shared" si="10"/>
        <v>70927</v>
      </c>
      <c r="J32" s="181">
        <f t="shared" si="10"/>
        <v>70183</v>
      </c>
      <c r="K32" s="181">
        <f t="shared" si="10"/>
        <v>70224</v>
      </c>
      <c r="L32" s="181">
        <f t="shared" si="10"/>
        <v>71798</v>
      </c>
      <c r="M32" s="181">
        <f t="shared" si="10"/>
        <v>72415</v>
      </c>
      <c r="N32" s="181">
        <f t="shared" si="10"/>
        <v>80083</v>
      </c>
      <c r="O32" s="181">
        <f t="shared" si="10"/>
        <v>83782</v>
      </c>
      <c r="P32" s="181">
        <f t="shared" si="10"/>
        <v>83488</v>
      </c>
      <c r="Q32" s="181">
        <f t="shared" si="10"/>
        <v>81602</v>
      </c>
      <c r="R32" s="181">
        <f t="shared" si="10"/>
        <v>77876</v>
      </c>
      <c r="S32" s="181">
        <f t="shared" si="10"/>
        <v>75782</v>
      </c>
      <c r="T32" s="181">
        <f t="shared" si="10"/>
        <v>77216</v>
      </c>
      <c r="U32" s="182">
        <f t="shared" ref="U32:AD32" si="11">SUM(U28:U31)</f>
        <v>80869</v>
      </c>
      <c r="V32" s="182">
        <f t="shared" si="11"/>
        <v>87533</v>
      </c>
      <c r="W32" s="182">
        <f t="shared" si="11"/>
        <v>92765</v>
      </c>
      <c r="X32" s="182">
        <f t="shared" si="11"/>
        <v>99470</v>
      </c>
      <c r="Y32" s="182">
        <f t="shared" si="11"/>
        <v>108868</v>
      </c>
      <c r="Z32" s="182">
        <f t="shared" si="11"/>
        <v>116401</v>
      </c>
      <c r="AA32" s="182"/>
      <c r="AB32" s="182">
        <f t="shared" si="11"/>
        <v>122868.5</v>
      </c>
      <c r="AC32" s="182">
        <f t="shared" si="11"/>
        <v>131434.29999999999</v>
      </c>
      <c r="AD32" s="182">
        <f t="shared" si="11"/>
        <v>137123.2782</v>
      </c>
      <c r="AE32" s="182">
        <f t="shared" ref="AE32" si="12">SUM(AE28:AE31)</f>
        <v>140100.16</v>
      </c>
      <c r="AF32" s="182">
        <f t="shared" ref="AF32:AK32" si="13">SUM(AF28:AF31)</f>
        <v>139554.628</v>
      </c>
      <c r="AG32" s="182">
        <f t="shared" si="13"/>
        <v>129465.495</v>
      </c>
      <c r="AH32" s="182">
        <f t="shared" ref="AH32:AJ32" si="14">SUM(AH28:AH31)</f>
        <v>126168.769</v>
      </c>
      <c r="AI32" s="182">
        <f t="shared" si="14"/>
        <v>112147.389</v>
      </c>
      <c r="AJ32" s="182">
        <f t="shared" si="14"/>
        <v>108925.02</v>
      </c>
      <c r="AK32" s="182">
        <f t="shared" si="13"/>
        <v>113951</v>
      </c>
    </row>
    <row r="33" spans="1:37" s="39" customFormat="1" ht="12" hidden="1">
      <c r="A33" s="41" t="s">
        <v>8</v>
      </c>
      <c r="B33" s="41"/>
      <c r="C33" s="41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</row>
    <row r="34" spans="1:37" s="39" customFormat="1" ht="12" hidden="1">
      <c r="B34" s="20" t="s">
        <v>34</v>
      </c>
      <c r="D34" s="40">
        <v>15257</v>
      </c>
      <c r="E34" s="40">
        <v>14075</v>
      </c>
      <c r="F34" s="40">
        <f>'Data for Table (Page1)'!F137</f>
        <v>15447</v>
      </c>
      <c r="G34" s="40">
        <f>'Data for Table (Page1)'!G137</f>
        <v>15368</v>
      </c>
      <c r="H34" s="40">
        <f>'Data for Table (Page1)'!H137</f>
        <v>15384</v>
      </c>
      <c r="I34" s="40">
        <f>'Data for Table (Page1)'!I137</f>
        <v>15497</v>
      </c>
      <c r="J34" s="40">
        <f>'Data for Table (Page1)'!J137</f>
        <v>15673</v>
      </c>
      <c r="K34" s="40">
        <f>'Data for Table (Page1)'!K137</f>
        <v>16638</v>
      </c>
      <c r="L34" s="40">
        <f>'Data for Table (Page1)'!L137</f>
        <v>17140</v>
      </c>
      <c r="M34" s="40">
        <f>'Data for Table (Page1)'!M137</f>
        <v>18452</v>
      </c>
      <c r="N34" s="40">
        <f>'Data for Table (Page1)'!N137</f>
        <v>19638</v>
      </c>
      <c r="O34" s="40">
        <f>'Data for Table (Page1)'!O137</f>
        <v>18089</v>
      </c>
      <c r="P34" s="40">
        <f>'Data for Table (Page1)'!P137</f>
        <v>17037</v>
      </c>
      <c r="Q34" s="40">
        <f>'Data for Table (Page1)'!Q137</f>
        <v>16062</v>
      </c>
      <c r="R34" s="42">
        <f>'Data for Table (Page1)'!R137</f>
        <v>0</v>
      </c>
      <c r="S34" s="42">
        <f>'Data for Table (Page1)'!S137</f>
        <v>0</v>
      </c>
      <c r="T34" s="42">
        <f>'Data for Table (Page1)'!T137</f>
        <v>0</v>
      </c>
      <c r="U34" s="57">
        <f>'Data for Table (Page1)'!U137</f>
        <v>0</v>
      </c>
      <c r="V34" s="57">
        <f>'Data for Table (Page1)'!V137</f>
        <v>0</v>
      </c>
      <c r="W34" s="57">
        <f>'Data for Table (Page1)'!W137</f>
        <v>0</v>
      </c>
      <c r="X34" s="57">
        <f>'Data for Table (Page1)'!X137</f>
        <v>0</v>
      </c>
      <c r="Y34" s="57">
        <f>'Data for Table (Page1)'!Y137</f>
        <v>0</v>
      </c>
      <c r="Z34" s="57">
        <f>'Data for Table (Page1)'!Z137</f>
        <v>0</v>
      </c>
      <c r="AA34" s="57"/>
      <c r="AB34" s="57">
        <f>'Data for Table (Page1)'!AA137</f>
        <v>0</v>
      </c>
      <c r="AC34" s="57">
        <f>'Data for Table (Page1)'!AB137</f>
        <v>0</v>
      </c>
      <c r="AD34" s="57">
        <f>'Data for Table (Page1)'!AC137</f>
        <v>0</v>
      </c>
      <c r="AE34" s="57">
        <f>'Data for Table (Page1)'!AD137</f>
        <v>0</v>
      </c>
      <c r="AF34" s="57">
        <f>'Data for Table (Page1)'!AE137</f>
        <v>0</v>
      </c>
      <c r="AG34" s="57">
        <f>'Data for Table (Page1)'!AF137</f>
        <v>0</v>
      </c>
      <c r="AH34" s="57">
        <f>'Data for Table (Page1)'!AG137</f>
        <v>0</v>
      </c>
      <c r="AI34" s="57">
        <f>'Data for Table (Page1)'!AG137</f>
        <v>0</v>
      </c>
      <c r="AJ34" s="57">
        <f>'Data for Table (Page1)'!AG137</f>
        <v>0</v>
      </c>
      <c r="AK34" s="57">
        <f>'Data for Table (Page1)'!AH137</f>
        <v>0</v>
      </c>
    </row>
    <row r="35" spans="1:37" s="39" customFormat="1" ht="12" hidden="1">
      <c r="B35" s="20" t="s">
        <v>35</v>
      </c>
      <c r="D35" s="40">
        <v>15633</v>
      </c>
      <c r="E35" s="40">
        <f>15994-147</f>
        <v>15847</v>
      </c>
      <c r="F35" s="40">
        <f>'Data for Table (Page1)'!F138</f>
        <v>14545</v>
      </c>
      <c r="G35" s="40">
        <f>'Data for Table (Page1)'!G138</f>
        <v>14828</v>
      </c>
      <c r="H35" s="40">
        <f>'Data for Table (Page1)'!H138</f>
        <v>14347</v>
      </c>
      <c r="I35" s="40">
        <f>'Data for Table (Page1)'!I138</f>
        <v>14854</v>
      </c>
      <c r="J35" s="40">
        <f>'Data for Table (Page1)'!J138</f>
        <v>14910</v>
      </c>
      <c r="K35" s="40">
        <f>'Data for Table (Page1)'!K138</f>
        <v>14201</v>
      </c>
      <c r="L35" s="40">
        <f>'Data for Table (Page1)'!L138</f>
        <v>14566</v>
      </c>
      <c r="M35" s="40">
        <f>'Data for Table (Page1)'!M138</f>
        <v>15088</v>
      </c>
      <c r="N35" s="40">
        <f>'Data for Table (Page1)'!N138</f>
        <v>15015</v>
      </c>
      <c r="O35" s="40">
        <f>'Data for Table (Page1)'!O138</f>
        <v>15085</v>
      </c>
      <c r="P35" s="40">
        <f>'Data for Table (Page1)'!P138</f>
        <v>15581</v>
      </c>
      <c r="Q35" s="40">
        <f>'Data for Table (Page1)'!Q138</f>
        <v>15582</v>
      </c>
      <c r="R35" s="42">
        <f>'Data for Table (Page1)'!R138</f>
        <v>0</v>
      </c>
      <c r="S35" s="42">
        <f>'Data for Table (Page1)'!S138</f>
        <v>0</v>
      </c>
      <c r="T35" s="42">
        <f>'Data for Table (Page1)'!T138</f>
        <v>0</v>
      </c>
      <c r="U35" s="57">
        <f>'Data for Table (Page1)'!U138</f>
        <v>0</v>
      </c>
      <c r="V35" s="57">
        <f>'Data for Table (Page1)'!V138</f>
        <v>0</v>
      </c>
      <c r="W35" s="57">
        <f>'Data for Table (Page1)'!W138</f>
        <v>0</v>
      </c>
      <c r="X35" s="57">
        <f>'Data for Table (Page1)'!X138</f>
        <v>0</v>
      </c>
      <c r="Y35" s="57">
        <f>'Data for Table (Page1)'!Y138</f>
        <v>0</v>
      </c>
      <c r="Z35" s="57">
        <f>'Data for Table (Page1)'!Z138</f>
        <v>0</v>
      </c>
      <c r="AA35" s="57"/>
      <c r="AB35" s="57">
        <f>'Data for Table (Page1)'!AA138</f>
        <v>0</v>
      </c>
      <c r="AC35" s="57">
        <f>'Data for Table (Page1)'!AB138</f>
        <v>0</v>
      </c>
      <c r="AD35" s="57">
        <f>'Data for Table (Page1)'!AC138</f>
        <v>0</v>
      </c>
      <c r="AE35" s="57">
        <f>'Data for Table (Page1)'!AD138</f>
        <v>0</v>
      </c>
      <c r="AF35" s="57">
        <f>'Data for Table (Page1)'!AE138</f>
        <v>0</v>
      </c>
      <c r="AG35" s="57">
        <f>'Data for Table (Page1)'!AF138</f>
        <v>0</v>
      </c>
      <c r="AH35" s="57">
        <f>'Data for Table (Page1)'!AG138</f>
        <v>0</v>
      </c>
      <c r="AI35" s="57">
        <f>'Data for Table (Page1)'!AG138</f>
        <v>0</v>
      </c>
      <c r="AJ35" s="57">
        <f>'Data for Table (Page1)'!AG138</f>
        <v>0</v>
      </c>
      <c r="AK35" s="57">
        <f>'Data for Table (Page1)'!AH138</f>
        <v>0</v>
      </c>
    </row>
    <row r="36" spans="1:37" s="39" customFormat="1" ht="12" hidden="1">
      <c r="B36" s="20" t="s">
        <v>36</v>
      </c>
      <c r="D36" s="40">
        <v>3010</v>
      </c>
      <c r="E36" s="40">
        <v>3067</v>
      </c>
      <c r="F36" s="40">
        <f>'Data for Table (Page1)'!F139</f>
        <v>3414</v>
      </c>
      <c r="G36" s="40">
        <f>'Data for Table (Page1)'!G139</f>
        <v>3482</v>
      </c>
      <c r="H36" s="40">
        <f>'Data for Table (Page1)'!H139</f>
        <v>3836</v>
      </c>
      <c r="I36" s="40">
        <f>'Data for Table (Page1)'!I139</f>
        <v>3302</v>
      </c>
      <c r="J36" s="40">
        <f>'Data for Table (Page1)'!J139</f>
        <v>3128</v>
      </c>
      <c r="K36" s="40">
        <f>'Data for Table (Page1)'!K139</f>
        <v>2897</v>
      </c>
      <c r="L36" s="40">
        <f>'Data for Table (Page1)'!L139</f>
        <v>2694</v>
      </c>
      <c r="M36" s="40">
        <f>'Data for Table (Page1)'!M139</f>
        <v>2493</v>
      </c>
      <c r="N36" s="40">
        <f>'Data for Table (Page1)'!N139</f>
        <v>2456</v>
      </c>
      <c r="O36" s="40">
        <f>'Data for Table (Page1)'!O139</f>
        <v>2906</v>
      </c>
      <c r="P36" s="40">
        <f>'Data for Table (Page1)'!P139</f>
        <v>2616</v>
      </c>
      <c r="Q36" s="40">
        <f>'Data for Table (Page1)'!Q139</f>
        <v>2776</v>
      </c>
      <c r="R36" s="42">
        <f>'Data for Table (Page1)'!R139</f>
        <v>0</v>
      </c>
      <c r="S36" s="42">
        <f>'Data for Table (Page1)'!S139</f>
        <v>0</v>
      </c>
      <c r="T36" s="42">
        <f>'Data for Table (Page1)'!T139</f>
        <v>0</v>
      </c>
      <c r="U36" s="57">
        <f>'Data for Table (Page1)'!U139</f>
        <v>0</v>
      </c>
      <c r="V36" s="57">
        <f>'Data for Table (Page1)'!V139</f>
        <v>0</v>
      </c>
      <c r="W36" s="57">
        <f>'Data for Table (Page1)'!W139</f>
        <v>0</v>
      </c>
      <c r="X36" s="57">
        <f>'Data for Table (Page1)'!X139</f>
        <v>0</v>
      </c>
      <c r="Y36" s="57">
        <f>'Data for Table (Page1)'!Y139</f>
        <v>0</v>
      </c>
      <c r="Z36" s="57">
        <f>'Data for Table (Page1)'!Z139</f>
        <v>0</v>
      </c>
      <c r="AA36" s="57"/>
      <c r="AB36" s="57">
        <f>'Data for Table (Page1)'!AA139</f>
        <v>0</v>
      </c>
      <c r="AC36" s="57">
        <f>'Data for Table (Page1)'!AB139</f>
        <v>0</v>
      </c>
      <c r="AD36" s="57">
        <f>'Data for Table (Page1)'!AC139</f>
        <v>0</v>
      </c>
      <c r="AE36" s="57">
        <f>'Data for Table (Page1)'!AD139</f>
        <v>0</v>
      </c>
      <c r="AF36" s="57">
        <f>'Data for Table (Page1)'!AE139</f>
        <v>0</v>
      </c>
      <c r="AG36" s="57">
        <f>'Data for Table (Page1)'!AF139</f>
        <v>0</v>
      </c>
      <c r="AH36" s="57">
        <f>'Data for Table (Page1)'!AG139</f>
        <v>0</v>
      </c>
      <c r="AI36" s="57">
        <f>'Data for Table (Page1)'!AG139</f>
        <v>0</v>
      </c>
      <c r="AJ36" s="57">
        <f>'Data for Table (Page1)'!AG139</f>
        <v>0</v>
      </c>
      <c r="AK36" s="57">
        <f>'Data for Table (Page1)'!AH139</f>
        <v>0</v>
      </c>
    </row>
    <row r="37" spans="1:37" s="39" customFormat="1" ht="12" hidden="1">
      <c r="B37" s="20"/>
      <c r="C37" s="20" t="s">
        <v>20</v>
      </c>
      <c r="D37" s="40">
        <f t="shared" ref="D37:T37" si="15">SUM(D34:D36)</f>
        <v>33900</v>
      </c>
      <c r="E37" s="40">
        <f t="shared" si="15"/>
        <v>32989</v>
      </c>
      <c r="F37" s="40">
        <f t="shared" si="15"/>
        <v>33406</v>
      </c>
      <c r="G37" s="40">
        <f t="shared" si="15"/>
        <v>33678</v>
      </c>
      <c r="H37" s="40">
        <f t="shared" si="15"/>
        <v>33567</v>
      </c>
      <c r="I37" s="40">
        <f t="shared" si="15"/>
        <v>33653</v>
      </c>
      <c r="J37" s="40">
        <f t="shared" si="15"/>
        <v>33711</v>
      </c>
      <c r="K37" s="40">
        <f t="shared" si="15"/>
        <v>33736</v>
      </c>
      <c r="L37" s="40">
        <f t="shared" si="15"/>
        <v>34400</v>
      </c>
      <c r="M37" s="40">
        <f t="shared" si="15"/>
        <v>36033</v>
      </c>
      <c r="N37" s="40">
        <f t="shared" si="15"/>
        <v>37109</v>
      </c>
      <c r="O37" s="40">
        <f t="shared" si="15"/>
        <v>36080</v>
      </c>
      <c r="P37" s="40">
        <f t="shared" si="15"/>
        <v>35234</v>
      </c>
      <c r="Q37" s="40">
        <f t="shared" si="15"/>
        <v>34420</v>
      </c>
      <c r="R37" s="42">
        <f t="shared" si="15"/>
        <v>0</v>
      </c>
      <c r="S37" s="42">
        <f t="shared" si="15"/>
        <v>0</v>
      </c>
      <c r="T37" s="42">
        <f t="shared" si="15"/>
        <v>0</v>
      </c>
      <c r="U37" s="57">
        <f t="shared" ref="U37:AD37" si="16">SUM(U34:U36)</f>
        <v>0</v>
      </c>
      <c r="V37" s="57">
        <f t="shared" si="16"/>
        <v>0</v>
      </c>
      <c r="W37" s="57">
        <f t="shared" si="16"/>
        <v>0</v>
      </c>
      <c r="X37" s="57">
        <f t="shared" si="16"/>
        <v>0</v>
      </c>
      <c r="Y37" s="57">
        <f t="shared" si="16"/>
        <v>0</v>
      </c>
      <c r="Z37" s="57">
        <f t="shared" si="16"/>
        <v>0</v>
      </c>
      <c r="AA37" s="57"/>
      <c r="AB37" s="57">
        <f t="shared" si="16"/>
        <v>0</v>
      </c>
      <c r="AC37" s="57">
        <f t="shared" si="16"/>
        <v>0</v>
      </c>
      <c r="AD37" s="57">
        <f t="shared" si="16"/>
        <v>0</v>
      </c>
      <c r="AE37" s="57">
        <f t="shared" ref="AE37" si="17">SUM(AE34:AE36)</f>
        <v>0</v>
      </c>
      <c r="AF37" s="57">
        <f t="shared" ref="AF37:AK37" si="18">SUM(AF34:AF36)</f>
        <v>0</v>
      </c>
      <c r="AG37" s="57">
        <f t="shared" si="18"/>
        <v>0</v>
      </c>
      <c r="AH37" s="57">
        <f t="shared" ref="AH37:AJ37" si="19">SUM(AH34:AH36)</f>
        <v>0</v>
      </c>
      <c r="AI37" s="57">
        <f t="shared" si="19"/>
        <v>0</v>
      </c>
      <c r="AJ37" s="57">
        <f t="shared" si="19"/>
        <v>0</v>
      </c>
      <c r="AK37" s="57">
        <f t="shared" si="18"/>
        <v>0</v>
      </c>
    </row>
    <row r="38" spans="1:37" s="39" customFormat="1" ht="14.25" customHeight="1">
      <c r="A38" s="186" t="s">
        <v>54</v>
      </c>
      <c r="B38" s="52"/>
      <c r="C38" s="52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</row>
    <row r="39" spans="1:37" s="38" customFormat="1" ht="10.5" customHeight="1">
      <c r="A39" s="64"/>
      <c r="B39" s="65" t="s">
        <v>34</v>
      </c>
      <c r="C39" s="64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>
        <f>'Data for Table (Page1)'!R159</f>
        <v>29268</v>
      </c>
      <c r="S39" s="66">
        <f>'Data for Table (Page1)'!S159</f>
        <v>30367</v>
      </c>
      <c r="T39" s="66">
        <f>'Data for Table (Page1)'!T159</f>
        <v>31289</v>
      </c>
      <c r="U39" s="67">
        <f>'Data for Table (Page1)'!U159</f>
        <v>34234</v>
      </c>
      <c r="V39" s="67">
        <f>'Data for Table (Page1)'!V159</f>
        <v>37463</v>
      </c>
      <c r="W39" s="67">
        <f>'Data for Table (Page1)'!W159</f>
        <v>39183</v>
      </c>
      <c r="X39" s="67">
        <f>'Data for Table (Page1)'!X159</f>
        <v>42289</v>
      </c>
      <c r="Y39" s="67">
        <f>'Data for Table (Page1)'!Y159</f>
        <v>46977</v>
      </c>
      <c r="Z39" s="67">
        <f>'Data for Table (Page1)'!Z159</f>
        <v>49602</v>
      </c>
      <c r="AA39" s="67"/>
      <c r="AB39" s="67">
        <f>'Data for Table (Page1)'!AA159</f>
        <v>50984.82</v>
      </c>
      <c r="AC39" s="67">
        <f>'Data for Table (Page1)'!AB159</f>
        <v>51286.29</v>
      </c>
      <c r="AD39" s="67">
        <v>46539.538</v>
      </c>
      <c r="AE39" s="67">
        <f>'Data for Table (Page1)'!AD159</f>
        <v>46863.7</v>
      </c>
      <c r="AF39" s="67">
        <f>'Data for Table (Page1)'!AE159</f>
        <v>43959.664000000004</v>
      </c>
      <c r="AG39" s="67">
        <f>'Data for Table (Page1)'!AF159</f>
        <v>42910.714</v>
      </c>
      <c r="AH39" s="67">
        <f>'Data for Table (Page1)'!AG159</f>
        <v>38361.936000000002</v>
      </c>
      <c r="AI39" s="67">
        <f>'Data for Table (Page1)'!AH159</f>
        <v>36154.630000000005</v>
      </c>
      <c r="AJ39" s="67">
        <f>'Data for Table (Page1)'!AI159</f>
        <v>35542.589999999997</v>
      </c>
      <c r="AK39" s="67">
        <f>'Data for Table (Page1)'!AJ159</f>
        <v>37371</v>
      </c>
    </row>
    <row r="40" spans="1:37" s="38" customFormat="1" ht="10.5" customHeight="1">
      <c r="A40" s="64"/>
      <c r="B40" s="65" t="s">
        <v>35</v>
      </c>
      <c r="C40" s="64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>
        <f>'Data for Table (Page1)'!R160</f>
        <v>34032</v>
      </c>
      <c r="S40" s="66">
        <f>'Data for Table (Page1)'!S160</f>
        <v>32294</v>
      </c>
      <c r="T40" s="66">
        <f>'Data for Table (Page1)'!T160</f>
        <v>31891</v>
      </c>
      <c r="U40" s="67">
        <f>'Data for Table (Page1)'!U160</f>
        <v>32840</v>
      </c>
      <c r="V40" s="67">
        <f>'Data for Table (Page1)'!V160</f>
        <v>34971</v>
      </c>
      <c r="W40" s="67">
        <f>'Data for Table (Page1)'!W160</f>
        <v>37357</v>
      </c>
      <c r="X40" s="67">
        <f>'Data for Table (Page1)'!X160</f>
        <v>39914</v>
      </c>
      <c r="Y40" s="67">
        <f>'Data for Table (Page1)'!Y160</f>
        <v>42387</v>
      </c>
      <c r="Z40" s="67">
        <f>'Data for Table (Page1)'!Z160</f>
        <v>47117</v>
      </c>
      <c r="AA40" s="67"/>
      <c r="AB40" s="67">
        <f>'Data for Table (Page1)'!AA160</f>
        <v>51045.93</v>
      </c>
      <c r="AC40" s="67">
        <f>'Data for Table (Page1)'!AB160</f>
        <v>53240.1</v>
      </c>
      <c r="AD40" s="67">
        <v>52821.33</v>
      </c>
      <c r="AE40" s="67">
        <f>'Data for Table (Page1)'!AD160</f>
        <v>52523.270000000004</v>
      </c>
      <c r="AF40" s="67">
        <f>'Data for Table (Page1)'!AE160</f>
        <v>51170.546999999999</v>
      </c>
      <c r="AG40" s="67">
        <f>'Data for Table (Page1)'!AF160</f>
        <v>47263.29</v>
      </c>
      <c r="AH40" s="67">
        <f>'Data for Table (Page1)'!AG160</f>
        <v>46375.18</v>
      </c>
      <c r="AI40" s="67">
        <f>'Data for Table (Page1)'!AH160</f>
        <v>43056.563999999998</v>
      </c>
      <c r="AJ40" s="67">
        <f>'Data for Table (Page1)'!AI160</f>
        <v>41484.9</v>
      </c>
      <c r="AK40" s="67">
        <f>'Data for Table (Page1)'!AJ160</f>
        <v>39437</v>
      </c>
    </row>
    <row r="41" spans="1:37" s="38" customFormat="1" ht="10.5" customHeight="1">
      <c r="A41" s="64"/>
      <c r="B41" s="65" t="s">
        <v>36</v>
      </c>
      <c r="C41" s="64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>
        <f>'Data for Table (Page1)'!R161</f>
        <v>9502</v>
      </c>
      <c r="S41" s="66">
        <f>'Data for Table (Page1)'!S161</f>
        <v>8884</v>
      </c>
      <c r="T41" s="66">
        <f>'Data for Table (Page1)'!T161</f>
        <v>9951</v>
      </c>
      <c r="U41" s="67">
        <f>'Data for Table (Page1)'!U161</f>
        <v>11037</v>
      </c>
      <c r="V41" s="67">
        <f>'Data for Table (Page1)'!V161</f>
        <v>12626</v>
      </c>
      <c r="W41" s="67">
        <f>'Data for Table (Page1)'!W161</f>
        <v>13050</v>
      </c>
      <c r="X41" s="67">
        <f>'Data for Table (Page1)'!X161</f>
        <v>14374</v>
      </c>
      <c r="Y41" s="67">
        <f>'Data for Table (Page1)'!Y161</f>
        <v>14088</v>
      </c>
      <c r="Z41" s="67">
        <f>'Data for Table (Page1)'!Z161</f>
        <v>14170</v>
      </c>
      <c r="AA41" s="67"/>
      <c r="AB41" s="67">
        <f>'Data for Table (Page1)'!AA161</f>
        <v>14906.849999999999</v>
      </c>
      <c r="AC41" s="67">
        <f>'Data for Table (Page1)'!AB161</f>
        <v>14415.68</v>
      </c>
      <c r="AD41" s="67">
        <v>12814.149900000002</v>
      </c>
      <c r="AE41" s="67">
        <f>'Data for Table (Page1)'!AD161</f>
        <v>11550.33</v>
      </c>
      <c r="AF41" s="67">
        <f>'Data for Table (Page1)'!AE161</f>
        <v>11639.374</v>
      </c>
      <c r="AG41" s="67">
        <f>'Data for Table (Page1)'!AF161</f>
        <v>10869.683999999999</v>
      </c>
      <c r="AH41" s="67">
        <f>'Data for Table (Page1)'!AG161</f>
        <v>10258.362000000001</v>
      </c>
      <c r="AI41" s="67">
        <f>'Data for Table (Page1)'!AH161</f>
        <v>9369.5770000000011</v>
      </c>
      <c r="AJ41" s="67">
        <f>'Data for Table (Page1)'!AI161</f>
        <v>8635.07</v>
      </c>
      <c r="AK41" s="67">
        <f>'Data for Table (Page1)'!AJ161</f>
        <v>8648</v>
      </c>
    </row>
    <row r="42" spans="1:37" s="38" customFormat="1" ht="10.5" customHeight="1">
      <c r="A42" s="64"/>
      <c r="B42" s="65"/>
      <c r="C42" s="177" t="s">
        <v>20</v>
      </c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>
        <f t="shared" ref="R42:V42" si="20">SUM(R39:R41)</f>
        <v>72802</v>
      </c>
      <c r="S42" s="178">
        <f t="shared" si="20"/>
        <v>71545</v>
      </c>
      <c r="T42" s="178">
        <f t="shared" si="20"/>
        <v>73131</v>
      </c>
      <c r="U42" s="179">
        <f t="shared" si="20"/>
        <v>78111</v>
      </c>
      <c r="V42" s="179">
        <f t="shared" si="20"/>
        <v>85060</v>
      </c>
      <c r="W42" s="179">
        <f>SUM(W39:W41)</f>
        <v>89590</v>
      </c>
      <c r="X42" s="179">
        <f>SUM(X39:X41)</f>
        <v>96577</v>
      </c>
      <c r="Y42" s="179">
        <f>SUM(Y39:Y41)</f>
        <v>103452</v>
      </c>
      <c r="Z42" s="179">
        <f>SUM(Z39:Z41)</f>
        <v>110889</v>
      </c>
      <c r="AA42" s="179"/>
      <c r="AB42" s="179">
        <f>SUM(AB39:AB41)</f>
        <v>116937.60000000001</v>
      </c>
      <c r="AC42" s="179">
        <f t="shared" ref="AC42:AD42" si="21">SUM(AC39:AC41)</f>
        <v>118942.07</v>
      </c>
      <c r="AD42" s="179">
        <f t="shared" si="21"/>
        <v>112175.01790000001</v>
      </c>
      <c r="AE42" s="179">
        <f t="shared" ref="AE42" si="22">SUM(AE39:AE41)</f>
        <v>110937.3</v>
      </c>
      <c r="AF42" s="179">
        <f t="shared" ref="AF42:AK42" si="23">SUM(AF39:AF41)</f>
        <v>106769.58500000001</v>
      </c>
      <c r="AG42" s="179">
        <f t="shared" si="23"/>
        <v>101043.68799999999</v>
      </c>
      <c r="AH42" s="179">
        <f t="shared" ref="AH42:AJ42" si="24">SUM(AH39:AH41)</f>
        <v>94995.478000000003</v>
      </c>
      <c r="AI42" s="179">
        <f t="shared" si="24"/>
        <v>88580.771000000008</v>
      </c>
      <c r="AJ42" s="179">
        <f t="shared" si="24"/>
        <v>85662.56</v>
      </c>
      <c r="AK42" s="179">
        <f t="shared" si="23"/>
        <v>85456</v>
      </c>
    </row>
    <row r="43" spans="1:37" s="39" customFormat="1" ht="14.25" customHeight="1">
      <c r="A43" s="4" t="s">
        <v>9</v>
      </c>
      <c r="B43" s="41"/>
      <c r="C43" s="41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</row>
    <row r="44" spans="1:37" s="38" customFormat="1" ht="11.25" customHeight="1">
      <c r="B44" s="37" t="s">
        <v>34</v>
      </c>
      <c r="D44" s="36">
        <v>259091</v>
      </c>
      <c r="E44" s="36">
        <f>252055-69</f>
        <v>251986</v>
      </c>
      <c r="F44" s="36">
        <f>'Data for Table (Page1)'!F184</f>
        <v>246839</v>
      </c>
      <c r="G44" s="36">
        <f>'Data for Table (Page1)'!G184</f>
        <v>242135</v>
      </c>
      <c r="H44" s="36">
        <f>'Data for Table (Page1)'!H184</f>
        <v>241008</v>
      </c>
      <c r="I44" s="36">
        <f>'Data for Table (Page1)'!I184</f>
        <v>241135</v>
      </c>
      <c r="J44" s="36">
        <f>'Data for Table (Page1)'!J184</f>
        <v>253955</v>
      </c>
      <c r="K44" s="36">
        <f>'Data for Table (Page1)'!K184</f>
        <v>252157</v>
      </c>
      <c r="L44" s="36">
        <f>'Data for Table (Page1)'!L184</f>
        <v>256596</v>
      </c>
      <c r="M44" s="36">
        <f>'Data for Table (Page1)'!M184</f>
        <v>268303</v>
      </c>
      <c r="N44" s="36">
        <f>'Data for Table (Page1)'!N184</f>
        <v>283075</v>
      </c>
      <c r="O44" s="36">
        <f>'Data for Table (Page1)'!O184</f>
        <v>277193</v>
      </c>
      <c r="P44" s="36">
        <f>'Data for Table (Page1)'!P184</f>
        <v>257430</v>
      </c>
      <c r="Q44" s="36">
        <f>'Data for Table (Page1)'!Q184</f>
        <v>244430</v>
      </c>
      <c r="R44" s="36">
        <f>'Data for Table (Page1)'!R184</f>
        <v>234493</v>
      </c>
      <c r="S44" s="36">
        <f>'Data for Table (Page1)'!S184</f>
        <v>231746</v>
      </c>
      <c r="T44" s="36">
        <f>'Data for Table (Page1)'!T184</f>
        <v>239571</v>
      </c>
      <c r="U44" s="58">
        <f>'Data for Table (Page1)'!U184</f>
        <v>253458</v>
      </c>
      <c r="V44" s="58">
        <f>'Data for Table (Page1)'!V184</f>
        <v>257107</v>
      </c>
      <c r="W44" s="58">
        <f>'Data for Table (Page1)'!W184</f>
        <v>258204</v>
      </c>
      <c r="X44" s="58">
        <f>'Data for Table (Page1)'!X184</f>
        <v>270391</v>
      </c>
      <c r="Y44" s="58">
        <f>'Data for Table (Page1)'!Y184</f>
        <v>276551</v>
      </c>
      <c r="Z44" s="58">
        <f>'Data for Table (Page1)'!Z184</f>
        <v>302558</v>
      </c>
      <c r="AA44" s="58"/>
      <c r="AB44" s="58">
        <f>'Data for Table (Page1)'!AA184</f>
        <v>318665.49</v>
      </c>
      <c r="AC44" s="58">
        <f>'Data for Table (Page1)'!AB184</f>
        <v>320373.12</v>
      </c>
      <c r="AD44" s="58">
        <v>321941.37050000002</v>
      </c>
      <c r="AE44" s="58">
        <f>'Data for Table (Page1)'!AD184</f>
        <v>303622.28000000003</v>
      </c>
      <c r="AF44" s="58">
        <f>'Data for Table (Page1)'!AE184</f>
        <v>293361.64899999998</v>
      </c>
      <c r="AG44" s="58">
        <f>'Data for Table (Page1)'!AF184</f>
        <v>270908.00900000002</v>
      </c>
      <c r="AH44" s="58">
        <f>'Data for Table (Page1)'!AG184</f>
        <v>252365.747</v>
      </c>
      <c r="AI44" s="58">
        <f>'Data for Table (Page1)'!AH184</f>
        <v>234665.41099999999</v>
      </c>
      <c r="AJ44" s="58">
        <f>'Data for Table (Page1)'!AI184</f>
        <v>237505.11</v>
      </c>
      <c r="AK44" s="58">
        <f>'Data for Table (Page1)'!AJ184</f>
        <v>235573</v>
      </c>
    </row>
    <row r="45" spans="1:37" s="38" customFormat="1" ht="11.25" customHeight="1">
      <c r="B45" s="37" t="s">
        <v>35</v>
      </c>
      <c r="D45" s="36">
        <v>96596</v>
      </c>
      <c r="E45" s="36">
        <f>97486-225-144-102-51-92-117</f>
        <v>96755</v>
      </c>
      <c r="F45" s="36">
        <f>'Data for Table (Page1)'!F185</f>
        <v>96351</v>
      </c>
      <c r="G45" s="36">
        <f>'Data for Table (Page1)'!G185</f>
        <v>93345</v>
      </c>
      <c r="H45" s="36">
        <f>'Data for Table (Page1)'!H185</f>
        <v>92053</v>
      </c>
      <c r="I45" s="36">
        <f>'Data for Table (Page1)'!I185</f>
        <v>90459</v>
      </c>
      <c r="J45" s="36">
        <f>'Data for Table (Page1)'!J185</f>
        <v>90092</v>
      </c>
      <c r="K45" s="36">
        <f>'Data for Table (Page1)'!K185</f>
        <v>91470</v>
      </c>
      <c r="L45" s="36">
        <f>'Data for Table (Page1)'!L185</f>
        <v>90243</v>
      </c>
      <c r="M45" s="36">
        <f>'Data for Table (Page1)'!M185</f>
        <v>92584</v>
      </c>
      <c r="N45" s="36">
        <f>'Data for Table (Page1)'!N185</f>
        <v>96877</v>
      </c>
      <c r="O45" s="36">
        <f>'Data for Table (Page1)'!O185</f>
        <v>98970</v>
      </c>
      <c r="P45" s="36">
        <f>'Data for Table (Page1)'!P185</f>
        <v>103563</v>
      </c>
      <c r="Q45" s="36">
        <f>'Data for Table (Page1)'!Q185</f>
        <v>101256</v>
      </c>
      <c r="R45" s="36">
        <f>'Data for Table (Page1)'!R185</f>
        <v>100047</v>
      </c>
      <c r="S45" s="36">
        <f>'Data for Table (Page1)'!S185</f>
        <v>93236</v>
      </c>
      <c r="T45" s="36">
        <f>'Data for Table (Page1)'!T185</f>
        <v>93995</v>
      </c>
      <c r="U45" s="58">
        <f>'Data for Table (Page1)'!U185</f>
        <v>94851</v>
      </c>
      <c r="V45" s="58">
        <f>'Data for Table (Page1)'!V185</f>
        <v>98461</v>
      </c>
      <c r="W45" s="58">
        <f>'Data for Table (Page1)'!W185</f>
        <v>103762</v>
      </c>
      <c r="X45" s="58">
        <f>'Data for Table (Page1)'!X185</f>
        <v>109405</v>
      </c>
      <c r="Y45" s="58">
        <f>'Data for Table (Page1)'!Y185</f>
        <v>110489</v>
      </c>
      <c r="Z45" s="58">
        <f>'Data for Table (Page1)'!Z185</f>
        <v>113461</v>
      </c>
      <c r="AA45" s="58"/>
      <c r="AB45" s="58">
        <f>'Data for Table (Page1)'!AA185</f>
        <v>118477.04000000001</v>
      </c>
      <c r="AC45" s="58">
        <f>'Data for Table (Page1)'!AB185</f>
        <v>125280.57</v>
      </c>
      <c r="AD45" s="58">
        <v>131009.32339999999</v>
      </c>
      <c r="AE45" s="58">
        <f>'Data for Table (Page1)'!AD185</f>
        <v>130374.25</v>
      </c>
      <c r="AF45" s="58">
        <f>'Data for Table (Page1)'!AE185</f>
        <v>126193.47399999999</v>
      </c>
      <c r="AG45" s="58">
        <f>'Data for Table (Page1)'!AF185</f>
        <v>123246.93100000001</v>
      </c>
      <c r="AH45" s="58">
        <f>'Data for Table (Page1)'!AG185</f>
        <v>119951.416</v>
      </c>
      <c r="AI45" s="58">
        <f>'Data for Table (Page1)'!AH185</f>
        <v>112583.40599999999</v>
      </c>
      <c r="AJ45" s="58">
        <f>'Data for Table (Page1)'!AI185</f>
        <v>107304.28</v>
      </c>
      <c r="AK45" s="58">
        <f>'Data for Table (Page1)'!AJ185</f>
        <v>107958</v>
      </c>
    </row>
    <row r="46" spans="1:37" s="38" customFormat="1" ht="11.25" customHeight="1">
      <c r="B46" s="37" t="s">
        <v>37</v>
      </c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58"/>
      <c r="V46" s="58"/>
      <c r="W46" s="58"/>
      <c r="X46" s="58"/>
      <c r="Y46" s="58"/>
      <c r="Z46" s="58"/>
      <c r="AA46" s="58"/>
      <c r="AB46" s="58">
        <f>'Data for Table (Page1)'!AA186</f>
        <v>2.6799999999999997</v>
      </c>
      <c r="AC46" s="58">
        <f>'Data for Table (Page1)'!AB186</f>
        <v>23.040000000000003</v>
      </c>
      <c r="AD46" s="58">
        <v>4.68</v>
      </c>
      <c r="AE46" s="58">
        <f>'Data for Table (Page1)'!AD186</f>
        <v>24</v>
      </c>
      <c r="AF46" s="58">
        <f>'Data for Table (Page1)'!AE186</f>
        <v>4.5</v>
      </c>
      <c r="AG46" s="58">
        <f>'Data for Table (Page1)'!AF186</f>
        <v>19</v>
      </c>
      <c r="AH46" s="58">
        <f>'Data for Table (Page1)'!AG186</f>
        <v>0</v>
      </c>
      <c r="AI46" s="58">
        <f>'Data for Table (Page1)'!AH186</f>
        <v>19</v>
      </c>
      <c r="AJ46" s="58">
        <f>'Data for Table (Page1)'!AI186</f>
        <v>1</v>
      </c>
      <c r="AK46" s="58">
        <f>'Data for Table (Page1)'!AJ186</f>
        <v>4</v>
      </c>
    </row>
    <row r="47" spans="1:37" s="38" customFormat="1" ht="11.25" customHeight="1">
      <c r="B47" s="37" t="s">
        <v>36</v>
      </c>
      <c r="D47" s="36">
        <v>25683</v>
      </c>
      <c r="E47" s="36">
        <v>26384</v>
      </c>
      <c r="F47" s="36">
        <f>'Data for Table (Page1)'!F187</f>
        <v>26371</v>
      </c>
      <c r="G47" s="36">
        <f>'Data for Table (Page1)'!G187</f>
        <v>24958</v>
      </c>
      <c r="H47" s="36">
        <f>'Data for Table (Page1)'!H187</f>
        <v>23854</v>
      </c>
      <c r="I47" s="36">
        <f>'Data for Table (Page1)'!I187</f>
        <v>24550</v>
      </c>
      <c r="J47" s="36">
        <f>'Data for Table (Page1)'!J187</f>
        <v>23209</v>
      </c>
      <c r="K47" s="36">
        <f>'Data for Table (Page1)'!K187</f>
        <v>20730</v>
      </c>
      <c r="L47" s="36">
        <f>'Data for Table (Page1)'!L187</f>
        <v>20377</v>
      </c>
      <c r="M47" s="36">
        <f>'Data for Table (Page1)'!M187</f>
        <v>20748</v>
      </c>
      <c r="N47" s="36">
        <f>'Data for Table (Page1)'!N187</f>
        <v>21175</v>
      </c>
      <c r="O47" s="36">
        <f>'Data for Table (Page1)'!O187</f>
        <v>22181</v>
      </c>
      <c r="P47" s="36">
        <f>'Data for Table (Page1)'!P187</f>
        <v>24316</v>
      </c>
      <c r="Q47" s="36">
        <f>'Data for Table (Page1)'!Q187</f>
        <v>24160</v>
      </c>
      <c r="R47" s="36">
        <f>'Data for Table (Page1)'!R187</f>
        <v>23737</v>
      </c>
      <c r="S47" s="36">
        <f>'Data for Table (Page1)'!S187</f>
        <v>24440</v>
      </c>
      <c r="T47" s="36">
        <f>'Data for Table (Page1)'!T187</f>
        <v>24967</v>
      </c>
      <c r="U47" s="58">
        <f>'Data for Table (Page1)'!U187</f>
        <v>24928</v>
      </c>
      <c r="V47" s="58">
        <f>'Data for Table (Page1)'!V187</f>
        <v>25421</v>
      </c>
      <c r="W47" s="58">
        <f>'Data for Table (Page1)'!W187</f>
        <v>25117</v>
      </c>
      <c r="X47" s="58">
        <f>'Data for Table (Page1)'!X187</f>
        <v>22729</v>
      </c>
      <c r="Y47" s="58">
        <f>'Data for Table (Page1)'!Y187</f>
        <v>22156</v>
      </c>
      <c r="Z47" s="58">
        <f>'Data for Table (Page1)'!Z187</f>
        <v>22000</v>
      </c>
      <c r="AA47" s="58"/>
      <c r="AB47" s="58">
        <f>'Data for Table (Page1)'!AA187</f>
        <v>22033.27</v>
      </c>
      <c r="AC47" s="58">
        <f>'Data for Table (Page1)'!AB187</f>
        <v>22910.29</v>
      </c>
      <c r="AD47" s="58">
        <v>22667.9879</v>
      </c>
      <c r="AE47" s="58">
        <f>'Data for Table (Page1)'!AD187</f>
        <v>22181.35</v>
      </c>
      <c r="AF47" s="58">
        <f>'Data for Table (Page1)'!AE187</f>
        <v>21082.989999999998</v>
      </c>
      <c r="AG47" s="58">
        <f>'Data for Table (Page1)'!AF187</f>
        <v>20639.072</v>
      </c>
      <c r="AH47" s="58">
        <f>'Data for Table (Page1)'!AG187</f>
        <v>20257.542000000001</v>
      </c>
      <c r="AI47" s="58">
        <f>'Data for Table (Page1)'!AH187</f>
        <v>20835.315999999999</v>
      </c>
      <c r="AJ47" s="58">
        <f>'Data for Table (Page1)'!AI187</f>
        <v>19696.080000000002</v>
      </c>
      <c r="AK47" s="58">
        <f>'Data for Table (Page1)'!AJ187</f>
        <v>19388</v>
      </c>
    </row>
    <row r="48" spans="1:37" s="38" customFormat="1" ht="11.25" customHeight="1">
      <c r="B48" s="37"/>
      <c r="C48" s="180" t="s">
        <v>20</v>
      </c>
      <c r="D48" s="181">
        <f t="shared" ref="D48:T48" si="25">SUM(D44:D47)</f>
        <v>381370</v>
      </c>
      <c r="E48" s="181">
        <f t="shared" si="25"/>
        <v>375125</v>
      </c>
      <c r="F48" s="181">
        <f t="shared" si="25"/>
        <v>369561</v>
      </c>
      <c r="G48" s="181">
        <f t="shared" si="25"/>
        <v>360438</v>
      </c>
      <c r="H48" s="181">
        <f t="shared" si="25"/>
        <v>356915</v>
      </c>
      <c r="I48" s="181">
        <f t="shared" si="25"/>
        <v>356144</v>
      </c>
      <c r="J48" s="181">
        <f t="shared" si="25"/>
        <v>367256</v>
      </c>
      <c r="K48" s="181">
        <f t="shared" si="25"/>
        <v>364357</v>
      </c>
      <c r="L48" s="181">
        <f t="shared" si="25"/>
        <v>367216</v>
      </c>
      <c r="M48" s="181">
        <f t="shared" si="25"/>
        <v>381635</v>
      </c>
      <c r="N48" s="181">
        <f t="shared" si="25"/>
        <v>401127</v>
      </c>
      <c r="O48" s="181">
        <f t="shared" si="25"/>
        <v>398344</v>
      </c>
      <c r="P48" s="181">
        <f t="shared" si="25"/>
        <v>385309</v>
      </c>
      <c r="Q48" s="181">
        <f t="shared" si="25"/>
        <v>369846</v>
      </c>
      <c r="R48" s="181">
        <f t="shared" si="25"/>
        <v>358277</v>
      </c>
      <c r="S48" s="181">
        <f t="shared" si="25"/>
        <v>349422</v>
      </c>
      <c r="T48" s="181">
        <f t="shared" si="25"/>
        <v>358533</v>
      </c>
      <c r="U48" s="182">
        <f t="shared" ref="U48:AB48" si="26">SUM(U44:U47)</f>
        <v>373237</v>
      </c>
      <c r="V48" s="182">
        <f t="shared" si="26"/>
        <v>380989</v>
      </c>
      <c r="W48" s="182">
        <f t="shared" si="26"/>
        <v>387083</v>
      </c>
      <c r="X48" s="182">
        <f t="shared" si="26"/>
        <v>402525</v>
      </c>
      <c r="Y48" s="182">
        <f t="shared" si="26"/>
        <v>409196</v>
      </c>
      <c r="Z48" s="182">
        <f t="shared" si="26"/>
        <v>438019</v>
      </c>
      <c r="AA48" s="182"/>
      <c r="AB48" s="182">
        <f t="shared" si="26"/>
        <v>459178.48000000004</v>
      </c>
      <c r="AC48" s="182">
        <f t="shared" ref="AC48" si="27">SUM(AC44:AC47)</f>
        <v>468587.01999999996</v>
      </c>
      <c r="AD48" s="182">
        <f t="shared" ref="AD48" si="28">SUM(AD44:AD47)</f>
        <v>475623.36180000001</v>
      </c>
      <c r="AE48" s="182">
        <f t="shared" ref="AE48:AK48" si="29">SUM(AE44:AE47)</f>
        <v>456201.88</v>
      </c>
      <c r="AF48" s="182">
        <f t="shared" si="29"/>
        <v>440642.61299999995</v>
      </c>
      <c r="AG48" s="182">
        <f t="shared" si="29"/>
        <v>414813.01200000005</v>
      </c>
      <c r="AH48" s="182">
        <f t="shared" ref="AH48:AJ48" si="30">SUM(AH44:AH47)</f>
        <v>392574.70500000002</v>
      </c>
      <c r="AI48" s="182">
        <f t="shared" si="30"/>
        <v>368103.13299999997</v>
      </c>
      <c r="AJ48" s="182">
        <f t="shared" si="30"/>
        <v>364506.47000000003</v>
      </c>
      <c r="AK48" s="182">
        <f t="shared" si="29"/>
        <v>362923</v>
      </c>
    </row>
    <row r="49" spans="1:37" s="39" customFormat="1" ht="14.25" customHeight="1">
      <c r="A49" s="186" t="s">
        <v>10</v>
      </c>
      <c r="B49" s="52"/>
      <c r="C49" s="52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</row>
    <row r="50" spans="1:37" s="38" customFormat="1" ht="11.25" customHeight="1">
      <c r="A50" s="64"/>
      <c r="B50" s="65" t="s">
        <v>34</v>
      </c>
      <c r="C50" s="64"/>
      <c r="D50" s="66"/>
      <c r="E50" s="66"/>
      <c r="F50" s="66"/>
      <c r="G50" s="66"/>
      <c r="H50" s="66"/>
      <c r="I50" s="66"/>
      <c r="J50" s="66"/>
      <c r="K50" s="66">
        <f>'Data for Table (Page1)'!K210</f>
        <v>4</v>
      </c>
      <c r="L50" s="66">
        <f>'Data for Table (Page1)'!L210</f>
        <v>0</v>
      </c>
      <c r="M50" s="66">
        <f>'Data for Table (Page1)'!M210</f>
        <v>0</v>
      </c>
      <c r="N50" s="66">
        <f>'Data for Table (Page1)'!N210</f>
        <v>112</v>
      </c>
      <c r="O50" s="66">
        <f>'Data for Table (Page1)'!O210</f>
        <v>13</v>
      </c>
      <c r="P50" s="66">
        <f>'Data for Table (Page1)'!P210</f>
        <v>0</v>
      </c>
      <c r="Q50" s="66">
        <f>'Data for Table (Page1)'!Q210</f>
        <v>0</v>
      </c>
      <c r="R50" s="66">
        <f>'Data for Table (Page1)'!R210</f>
        <v>0</v>
      </c>
      <c r="S50" s="66">
        <f>'Data for Table (Page1)'!S210</f>
        <v>0</v>
      </c>
      <c r="T50" s="66">
        <f>'Data for Table (Page1)'!T210</f>
        <v>0</v>
      </c>
      <c r="U50" s="67">
        <f>'Data for Table (Page1)'!U210</f>
        <v>0</v>
      </c>
      <c r="V50" s="67">
        <f>'Data for Table (Page1)'!V210</f>
        <v>0</v>
      </c>
      <c r="W50" s="67">
        <f>'Data for Table (Page1)'!W210</f>
        <v>0</v>
      </c>
      <c r="X50" s="67">
        <f>'Data for Table (Page1)'!X210</f>
        <v>0</v>
      </c>
      <c r="Y50" s="67">
        <f>'Data for Table (Page1)'!Y210</f>
        <v>0</v>
      </c>
      <c r="Z50" s="67">
        <f>'Data for Table (Page1)'!Z210</f>
        <v>0</v>
      </c>
      <c r="AA50" s="67"/>
      <c r="AB50" s="67">
        <f>'Data for Table (Page1)'!AA210</f>
        <v>0</v>
      </c>
      <c r="AC50" s="67">
        <f>'Data for Table (Page1)'!AB210</f>
        <v>0</v>
      </c>
      <c r="AD50" s="67">
        <f>'Data for Table (Page1)'!AC210</f>
        <v>0</v>
      </c>
      <c r="AE50" s="67">
        <f>'Data for Table (Page1)'!AD210</f>
        <v>0</v>
      </c>
      <c r="AF50" s="67">
        <f>'Data for Table (Page1)'!AE210</f>
        <v>0</v>
      </c>
      <c r="AG50" s="67">
        <f>'Data for Table (Page1)'!AF210</f>
        <v>0</v>
      </c>
      <c r="AH50" s="67">
        <f>'Data for Table (Page1)'!AG210</f>
        <v>0</v>
      </c>
      <c r="AI50" s="67">
        <f>'Data for Table (Page1)'!AH210</f>
        <v>0</v>
      </c>
      <c r="AJ50" s="67">
        <f>'Data for Table (Page1)'!AI210</f>
        <v>0</v>
      </c>
      <c r="AK50" s="67">
        <f>'Data for Table (Page1)'!AJ210</f>
        <v>0</v>
      </c>
    </row>
    <row r="51" spans="1:37" s="38" customFormat="1" ht="11.25" customHeight="1">
      <c r="A51" s="64"/>
      <c r="B51" s="65" t="s">
        <v>35</v>
      </c>
      <c r="C51" s="64"/>
      <c r="D51" s="66"/>
      <c r="E51" s="66"/>
      <c r="F51" s="66"/>
      <c r="G51" s="66"/>
      <c r="H51" s="66"/>
      <c r="I51" s="66"/>
      <c r="J51" s="66"/>
      <c r="K51" s="66">
        <f>'Data for Table (Page1)'!K211</f>
        <v>88</v>
      </c>
      <c r="L51" s="66">
        <f>'Data for Table (Page1)'!L211</f>
        <v>18</v>
      </c>
      <c r="M51" s="66">
        <f>'Data for Table (Page1)'!M211</f>
        <v>9</v>
      </c>
      <c r="N51" s="66">
        <f>'Data for Table (Page1)'!N211</f>
        <v>31</v>
      </c>
      <c r="O51" s="66">
        <f>'Data for Table (Page1)'!O211</f>
        <v>0</v>
      </c>
      <c r="P51" s="66">
        <f>'Data for Table (Page1)'!P211</f>
        <v>0</v>
      </c>
      <c r="Q51" s="66">
        <f>'Data for Table (Page1)'!Q211</f>
        <v>0</v>
      </c>
      <c r="R51" s="66">
        <f>'Data for Table (Page1)'!R211</f>
        <v>0</v>
      </c>
      <c r="S51" s="66">
        <f>'Data for Table (Page1)'!S211</f>
        <v>0</v>
      </c>
      <c r="T51" s="66">
        <f>'Data for Table (Page1)'!T211</f>
        <v>0</v>
      </c>
      <c r="U51" s="67">
        <f>'Data for Table (Page1)'!U211</f>
        <v>0</v>
      </c>
      <c r="V51" s="67">
        <f>'Data for Table (Page1)'!V211</f>
        <v>0</v>
      </c>
      <c r="W51" s="67">
        <f>'Data for Table (Page1)'!W211</f>
        <v>0</v>
      </c>
      <c r="X51" s="67">
        <f>'Data for Table (Page1)'!X211</f>
        <v>0</v>
      </c>
      <c r="Y51" s="67">
        <f>'Data for Table (Page1)'!Y211</f>
        <v>0</v>
      </c>
      <c r="Z51" s="67">
        <f>'Data for Table (Page1)'!Z211</f>
        <v>0</v>
      </c>
      <c r="AA51" s="67"/>
      <c r="AB51" s="67">
        <f>'Data for Table (Page1)'!AA211</f>
        <v>529.43999999999994</v>
      </c>
      <c r="AC51" s="67">
        <f>'Data for Table (Page1)'!AB211</f>
        <v>872.09999999999991</v>
      </c>
      <c r="AD51" s="67">
        <v>503.75</v>
      </c>
      <c r="AE51" s="67">
        <f>'Data for Table (Page1)'!AD211</f>
        <v>784.52</v>
      </c>
      <c r="AF51" s="67">
        <f>'Data for Table (Page1)'!AE211</f>
        <v>455.19100000000003</v>
      </c>
      <c r="AG51" s="67">
        <f>'Data for Table (Page1)'!AF211</f>
        <v>698.59999999999991</v>
      </c>
      <c r="AH51" s="67">
        <f>'Data for Table (Page1)'!AG211</f>
        <v>843.94100000000003</v>
      </c>
      <c r="AI51" s="67">
        <f>'Data for Table (Page1)'!AH211</f>
        <v>1032.28</v>
      </c>
      <c r="AJ51" s="67">
        <f>'Data for Table (Page1)'!AI211</f>
        <v>793.32999999999993</v>
      </c>
      <c r="AK51" s="67">
        <f>'Data for Table (Page1)'!AJ211</f>
        <v>974</v>
      </c>
    </row>
    <row r="52" spans="1:37" s="38" customFormat="1" ht="11.25" customHeight="1">
      <c r="A52" s="64"/>
      <c r="B52" s="65" t="s">
        <v>37</v>
      </c>
      <c r="C52" s="64"/>
      <c r="D52" s="66">
        <f>78+11574</f>
        <v>11652</v>
      </c>
      <c r="E52" s="66">
        <f>118+12727</f>
        <v>12845</v>
      </c>
      <c r="F52" s="66">
        <f>'Data for Table (Page1)'!F212</f>
        <v>14548</v>
      </c>
      <c r="G52" s="66">
        <f>'Data for Table (Page1)'!G212</f>
        <v>15281</v>
      </c>
      <c r="H52" s="66">
        <f>'Data for Table (Page1)'!H212</f>
        <v>16109</v>
      </c>
      <c r="I52" s="66">
        <f>'Data for Table (Page1)'!I212</f>
        <v>16084</v>
      </c>
      <c r="J52" s="66">
        <f>'Data for Table (Page1)'!J212</f>
        <v>16985</v>
      </c>
      <c r="K52" s="66">
        <f>'Data for Table (Page1)'!K212</f>
        <v>16065</v>
      </c>
      <c r="L52" s="66">
        <f>'Data for Table (Page1)'!L212</f>
        <v>16262</v>
      </c>
      <c r="M52" s="66">
        <f>'Data for Table (Page1)'!M212</f>
        <v>16176</v>
      </c>
      <c r="N52" s="66">
        <f>'Data for Table (Page1)'!N212</f>
        <v>16692</v>
      </c>
      <c r="O52" s="66">
        <f>'Data for Table (Page1)'!O212</f>
        <v>16468</v>
      </c>
      <c r="P52" s="66">
        <f>'Data for Table (Page1)'!P212</f>
        <v>16696</v>
      </c>
      <c r="Q52" s="66">
        <f>'Data for Table (Page1)'!Q212</f>
        <v>16837</v>
      </c>
      <c r="R52" s="66">
        <f>'Data for Table (Page1)'!R212</f>
        <v>17901</v>
      </c>
      <c r="S52" s="66">
        <f>'Data for Table (Page1)'!S212</f>
        <v>18191</v>
      </c>
      <c r="T52" s="66">
        <f>'Data for Table (Page1)'!T212</f>
        <v>19747</v>
      </c>
      <c r="U52" s="67">
        <f>'Data for Table (Page1)'!U212</f>
        <v>20056</v>
      </c>
      <c r="V52" s="67">
        <f>'Data for Table (Page1)'!V212</f>
        <v>22531</v>
      </c>
      <c r="W52" s="67">
        <f>'Data for Table (Page1)'!W212</f>
        <v>23480</v>
      </c>
      <c r="X52" s="67">
        <f>'Data for Table (Page1)'!X212</f>
        <v>23944</v>
      </c>
      <c r="Y52" s="67">
        <f>'Data for Table (Page1)'!Y212</f>
        <v>23989</v>
      </c>
      <c r="Z52" s="67">
        <f>'Data for Table (Page1)'!Z212</f>
        <v>24304</v>
      </c>
      <c r="AA52" s="67"/>
      <c r="AB52" s="67">
        <f>'Data for Table (Page1)'!AA212</f>
        <v>25748.28</v>
      </c>
      <c r="AC52" s="67">
        <f>'Data for Table (Page1)'!AB212</f>
        <v>25268.98</v>
      </c>
      <c r="AD52" s="67">
        <v>25924.746800000001</v>
      </c>
      <c r="AE52" s="67">
        <f>'Data for Table (Page1)'!AD212</f>
        <v>26309.809999999998</v>
      </c>
      <c r="AF52" s="67">
        <f>'Data for Table (Page1)'!AE212</f>
        <v>26812.690999999999</v>
      </c>
      <c r="AG52" s="67">
        <f>'Data for Table (Page1)'!AF212</f>
        <v>26525.707000000002</v>
      </c>
      <c r="AH52" s="67">
        <f>'Data for Table (Page1)'!AG212</f>
        <v>27403.383999999998</v>
      </c>
      <c r="AI52" s="67">
        <f>'Data for Table (Page1)'!AH212</f>
        <v>28986.072</v>
      </c>
      <c r="AJ52" s="67">
        <f>'Data for Table (Page1)'!AI212</f>
        <v>28456.67</v>
      </c>
      <c r="AK52" s="67">
        <f>'Data for Table (Page1)'!AJ212</f>
        <v>28353</v>
      </c>
    </row>
    <row r="53" spans="1:37" s="38" customFormat="1" ht="11.25" customHeight="1">
      <c r="A53" s="64"/>
      <c r="B53" s="65" t="s">
        <v>36</v>
      </c>
      <c r="C53" s="65"/>
      <c r="D53" s="66">
        <v>1828</v>
      </c>
      <c r="E53" s="66">
        <v>1977</v>
      </c>
      <c r="F53" s="66">
        <f>'Data for Table (Page1)'!F213</f>
        <v>2429</v>
      </c>
      <c r="G53" s="66">
        <f>'Data for Table (Page1)'!G213</f>
        <v>2575</v>
      </c>
      <c r="H53" s="66">
        <f>'Data for Table (Page1)'!H213</f>
        <v>2216</v>
      </c>
      <c r="I53" s="66">
        <f>'Data for Table (Page1)'!I213</f>
        <v>1924</v>
      </c>
      <c r="J53" s="66">
        <f>'Data for Table (Page1)'!J213</f>
        <v>1754</v>
      </c>
      <c r="K53" s="66">
        <f>'Data for Table (Page1)'!K213</f>
        <v>1607</v>
      </c>
      <c r="L53" s="66">
        <f>'Data for Table (Page1)'!L213</f>
        <v>1438</v>
      </c>
      <c r="M53" s="66">
        <f>'Data for Table (Page1)'!M213</f>
        <v>1423</v>
      </c>
      <c r="N53" s="66">
        <f>'Data for Table (Page1)'!N213</f>
        <v>1694</v>
      </c>
      <c r="O53" s="66">
        <f>'Data for Table (Page1)'!O213</f>
        <v>1609</v>
      </c>
      <c r="P53" s="66">
        <f>'Data for Table (Page1)'!P213</f>
        <v>1861</v>
      </c>
      <c r="Q53" s="66">
        <f>'Data for Table (Page1)'!Q213</f>
        <v>1930</v>
      </c>
      <c r="R53" s="66">
        <f>'Data for Table (Page1)'!R213</f>
        <v>1735</v>
      </c>
      <c r="S53" s="66">
        <f>'Data for Table (Page1)'!S213</f>
        <v>1929</v>
      </c>
      <c r="T53" s="66">
        <f>'Data for Table (Page1)'!T213</f>
        <v>1943</v>
      </c>
      <c r="U53" s="67">
        <f>'Data for Table (Page1)'!U213</f>
        <v>1945</v>
      </c>
      <c r="V53" s="67">
        <f>'Data for Table (Page1)'!V213</f>
        <v>1864</v>
      </c>
      <c r="W53" s="67">
        <f>'Data for Table (Page1)'!W213</f>
        <v>1945</v>
      </c>
      <c r="X53" s="67">
        <f>'Data for Table (Page1)'!X213</f>
        <v>1731</v>
      </c>
      <c r="Y53" s="67">
        <f>'Data for Table (Page1)'!Y213</f>
        <v>1957</v>
      </c>
      <c r="Z53" s="67">
        <f>'Data for Table (Page1)'!Z213</f>
        <v>2485</v>
      </c>
      <c r="AA53" s="67"/>
      <c r="AB53" s="67">
        <f>'Data for Table (Page1)'!AA213</f>
        <v>683.9</v>
      </c>
      <c r="AC53" s="67">
        <f>'Data for Table (Page1)'!AB213</f>
        <v>710.17000000000007</v>
      </c>
      <c r="AD53" s="67">
        <v>659.74950000000001</v>
      </c>
      <c r="AE53" s="67">
        <f>'Data for Table (Page1)'!AD213</f>
        <v>652.99</v>
      </c>
      <c r="AF53" s="67">
        <f>'Data for Table (Page1)'!AE213</f>
        <v>587.50900000000001</v>
      </c>
      <c r="AG53" s="67">
        <f>'Data for Table (Page1)'!AF213</f>
        <v>634.79700000000003</v>
      </c>
      <c r="AH53" s="67">
        <f>'Data for Table (Page1)'!AG213</f>
        <v>650.90300000000002</v>
      </c>
      <c r="AI53" s="67">
        <f>'Data for Table (Page1)'!AH213</f>
        <v>574.79399999999998</v>
      </c>
      <c r="AJ53" s="67">
        <f>'Data for Table (Page1)'!AI213</f>
        <v>449.65999999999997</v>
      </c>
      <c r="AK53" s="67">
        <f>'Data for Table (Page1)'!AJ213</f>
        <v>513</v>
      </c>
    </row>
    <row r="54" spans="1:37" s="38" customFormat="1" ht="11.25" customHeight="1">
      <c r="A54" s="64"/>
      <c r="B54" s="65"/>
      <c r="C54" s="177" t="s">
        <v>20</v>
      </c>
      <c r="D54" s="178">
        <f t="shared" ref="D54:J54" si="31">SUM(D52:D53)</f>
        <v>13480</v>
      </c>
      <c r="E54" s="178">
        <f t="shared" si="31"/>
        <v>14822</v>
      </c>
      <c r="F54" s="178">
        <f t="shared" si="31"/>
        <v>16977</v>
      </c>
      <c r="G54" s="178">
        <f t="shared" si="31"/>
        <v>17856</v>
      </c>
      <c r="H54" s="178">
        <f t="shared" si="31"/>
        <v>18325</v>
      </c>
      <c r="I54" s="178">
        <f t="shared" si="31"/>
        <v>18008</v>
      </c>
      <c r="J54" s="178">
        <f t="shared" si="31"/>
        <v>18739</v>
      </c>
      <c r="K54" s="178">
        <f>SUM(K50:K53)</f>
        <v>17764</v>
      </c>
      <c r="L54" s="178">
        <f>SUM(L50:L53)</f>
        <v>17718</v>
      </c>
      <c r="M54" s="178">
        <f>SUM(M50:M53)</f>
        <v>17608</v>
      </c>
      <c r="N54" s="178">
        <f>SUM(N50:N53)</f>
        <v>18529</v>
      </c>
      <c r="O54" s="178">
        <f>SUM(O50:O53)</f>
        <v>18090</v>
      </c>
      <c r="P54" s="178">
        <f>SUM(P52:P53)</f>
        <v>18557</v>
      </c>
      <c r="Q54" s="178">
        <f>SUM(Q52:Q53)</f>
        <v>18767</v>
      </c>
      <c r="R54" s="178">
        <f>SUM(R52:R53)</f>
        <v>19636</v>
      </c>
      <c r="S54" s="178">
        <f>SUM(S52:S53)</f>
        <v>20120</v>
      </c>
      <c r="T54" s="178">
        <f>SUM(T52:T53)</f>
        <v>21690</v>
      </c>
      <c r="U54" s="179">
        <f t="shared" ref="U54:Z54" si="32">SUM(U52:U53)</f>
        <v>22001</v>
      </c>
      <c r="V54" s="179">
        <f t="shared" si="32"/>
        <v>24395</v>
      </c>
      <c r="W54" s="179">
        <f t="shared" si="32"/>
        <v>25425</v>
      </c>
      <c r="X54" s="179">
        <f t="shared" si="32"/>
        <v>25675</v>
      </c>
      <c r="Y54" s="179">
        <f t="shared" si="32"/>
        <v>25946</v>
      </c>
      <c r="Z54" s="179">
        <f t="shared" si="32"/>
        <v>26789</v>
      </c>
      <c r="AA54" s="179"/>
      <c r="AB54" s="179">
        <f>SUM(AB50:AB53)</f>
        <v>26961.62</v>
      </c>
      <c r="AC54" s="179">
        <f>SUM(AC50:AC53)</f>
        <v>26851.25</v>
      </c>
      <c r="AD54" s="179">
        <f>SUM(AD50:AD53)</f>
        <v>27088.246300000003</v>
      </c>
      <c r="AE54" s="179">
        <f>SUM(AE50:AE53)</f>
        <v>27747.32</v>
      </c>
      <c r="AF54" s="179">
        <f t="shared" ref="AF54:AK54" si="33">SUM(AF50:AF53)</f>
        <v>27855.390999999996</v>
      </c>
      <c r="AG54" s="179">
        <f t="shared" si="33"/>
        <v>27859.103999999999</v>
      </c>
      <c r="AH54" s="179">
        <f t="shared" ref="AH54:AJ54" si="34">SUM(AH50:AH53)</f>
        <v>28898.227999999996</v>
      </c>
      <c r="AI54" s="179">
        <f t="shared" si="34"/>
        <v>30593.146000000001</v>
      </c>
      <c r="AJ54" s="179">
        <f t="shared" si="34"/>
        <v>29699.66</v>
      </c>
      <c r="AK54" s="179">
        <f t="shared" si="33"/>
        <v>29840</v>
      </c>
    </row>
    <row r="55" spans="1:37" s="39" customFormat="1" ht="14.25" customHeight="1">
      <c r="A55" s="4" t="s">
        <v>126</v>
      </c>
      <c r="B55" s="41"/>
      <c r="C55" s="41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</row>
    <row r="56" spans="1:37" s="38" customFormat="1" ht="11.25" customHeight="1">
      <c r="B56" s="37" t="s">
        <v>34</v>
      </c>
      <c r="D56" s="36">
        <v>3353</v>
      </c>
      <c r="E56" s="36">
        <v>3081</v>
      </c>
      <c r="F56" s="36">
        <f>'Data for Table (Page1)'!F233</f>
        <v>5400</v>
      </c>
      <c r="G56" s="36">
        <f>'Data for Table (Page1)'!G233</f>
        <v>4099</v>
      </c>
      <c r="H56" s="36">
        <f>'Data for Table (Page1)'!H233</f>
        <v>3954</v>
      </c>
      <c r="I56" s="36">
        <f>'Data for Table (Page1)'!I233</f>
        <v>3960</v>
      </c>
      <c r="J56" s="36">
        <f>'Data for Table (Page1)'!J233</f>
        <v>3612</v>
      </c>
      <c r="K56" s="36">
        <f>'Data for Table (Page1)'!K233</f>
        <v>3957</v>
      </c>
      <c r="L56" s="36">
        <f>'Data for Table (Page1)'!L233</f>
        <v>4901</v>
      </c>
      <c r="M56" s="36">
        <f>'Data for Table (Page1)'!M233</f>
        <v>4964</v>
      </c>
      <c r="N56" s="36">
        <f>'Data for Table (Page1)'!N233</f>
        <v>5473</v>
      </c>
      <c r="O56" s="36">
        <f>'Data for Table (Page1)'!O233</f>
        <v>4844</v>
      </c>
      <c r="P56" s="36">
        <f>'Data for Table (Page1)'!P233</f>
        <v>4533</v>
      </c>
      <c r="Q56" s="36">
        <f>'Data for Table (Page1)'!Q233</f>
        <v>4896</v>
      </c>
      <c r="R56" s="36">
        <f>'Data for Table (Page1)'!R233</f>
        <v>6336</v>
      </c>
      <c r="S56" s="36">
        <f>'Data for Table (Page1)'!S233</f>
        <v>7067</v>
      </c>
      <c r="T56" s="36">
        <f>'Data for Table (Page1)'!T233</f>
        <v>7440</v>
      </c>
      <c r="U56" s="58">
        <f>'Data for Table (Page1)'!U233</f>
        <v>7727</v>
      </c>
      <c r="V56" s="58">
        <f>'Data for Table (Page1)'!V233</f>
        <v>6737</v>
      </c>
      <c r="W56" s="58">
        <f>'Data for Table (Page1)'!W233</f>
        <v>7051</v>
      </c>
      <c r="X56" s="58">
        <f>'Data for Table (Page1)'!X233</f>
        <v>8614</v>
      </c>
      <c r="Y56" s="58">
        <f>'Data for Table (Page1)'!Y233</f>
        <v>13500</v>
      </c>
      <c r="Z56" s="58">
        <f>'Data for Table (Page1)'!Z233</f>
        <v>15653</v>
      </c>
      <c r="AA56" s="58"/>
      <c r="AB56" s="58">
        <f>'Data for Table (Page1)'!AA233</f>
        <v>8282</v>
      </c>
      <c r="AC56" s="58">
        <f>'Data for Table (Page1)'!AB233</f>
        <v>8258</v>
      </c>
      <c r="AD56" s="58">
        <v>8357</v>
      </c>
      <c r="AE56" s="58">
        <f>'Data for Table (Page1)'!AD233</f>
        <v>7958.75</v>
      </c>
      <c r="AF56" s="58">
        <f>'Data for Table (Page1)'!AE233</f>
        <v>7856.5</v>
      </c>
      <c r="AG56" s="58">
        <f>'Data for Table (Page1)'!AF233</f>
        <v>7298</v>
      </c>
      <c r="AH56" s="58">
        <f>'Data for Table (Page1)'!AG233</f>
        <v>6718</v>
      </c>
      <c r="AI56" s="58">
        <f>'Data for Table (Page1)'!AH233</f>
        <v>7009</v>
      </c>
      <c r="AJ56" s="58">
        <f>'Data for Table (Page1)'!AI233</f>
        <v>7105</v>
      </c>
      <c r="AK56" s="58">
        <f>'Data for Table (Page1)'!AJ233</f>
        <v>6913</v>
      </c>
    </row>
    <row r="57" spans="1:37" s="38" customFormat="1" ht="11.25" customHeight="1">
      <c r="B57" s="37" t="s">
        <v>35</v>
      </c>
      <c r="D57" s="36">
        <v>124</v>
      </c>
      <c r="E57" s="36">
        <v>344</v>
      </c>
      <c r="F57" s="36">
        <f>'Data for Table (Page1)'!F234</f>
        <v>847</v>
      </c>
      <c r="G57" s="36">
        <f>'Data for Table (Page1)'!G234</f>
        <v>491</v>
      </c>
      <c r="H57" s="36">
        <f>'Data for Table (Page1)'!H234</f>
        <v>483</v>
      </c>
      <c r="I57" s="36">
        <f>'Data for Table (Page1)'!I234</f>
        <v>555</v>
      </c>
      <c r="J57" s="36">
        <f>'Data for Table (Page1)'!J234</f>
        <v>1518</v>
      </c>
      <c r="K57" s="36">
        <f>'Data for Table (Page1)'!K234</f>
        <v>926</v>
      </c>
      <c r="L57" s="36">
        <f>'Data for Table (Page1)'!L234</f>
        <v>1198</v>
      </c>
      <c r="M57" s="36">
        <f>'Data for Table (Page1)'!M234</f>
        <v>1324</v>
      </c>
      <c r="N57" s="36">
        <f>'Data for Table (Page1)'!N234</f>
        <v>928</v>
      </c>
      <c r="O57" s="36">
        <f>'Data for Table (Page1)'!O234</f>
        <v>1123</v>
      </c>
      <c r="P57" s="36">
        <f>'Data for Table (Page1)'!P234</f>
        <v>925</v>
      </c>
      <c r="Q57" s="36">
        <f>'Data for Table (Page1)'!Q234</f>
        <v>868</v>
      </c>
      <c r="R57" s="36">
        <f>'Data for Table (Page1)'!R234</f>
        <v>1187</v>
      </c>
      <c r="S57" s="36">
        <f>'Data for Table (Page1)'!S234</f>
        <v>1309</v>
      </c>
      <c r="T57" s="36">
        <f>'Data for Table (Page1)'!T234</f>
        <v>2048</v>
      </c>
      <c r="U57" s="58">
        <f>'Data for Table (Page1)'!U234</f>
        <v>1641</v>
      </c>
      <c r="V57" s="58">
        <f>'Data for Table (Page1)'!V234</f>
        <v>1655</v>
      </c>
      <c r="W57" s="58">
        <f>'Data for Table (Page1)'!W234</f>
        <v>2324</v>
      </c>
      <c r="X57" s="58">
        <f>'Data for Table (Page1)'!X234</f>
        <v>2537</v>
      </c>
      <c r="Y57" s="58">
        <f>'Data for Table (Page1)'!Y234</f>
        <v>2752</v>
      </c>
      <c r="Z57" s="58">
        <f>'Data for Table (Page1)'!Z234</f>
        <v>3019</v>
      </c>
      <c r="AA57" s="58"/>
      <c r="AB57" s="58">
        <f>'Data for Table (Page1)'!AA234</f>
        <v>690</v>
      </c>
      <c r="AC57" s="58">
        <f>'Data for Table (Page1)'!AB234</f>
        <v>415</v>
      </c>
      <c r="AD57" s="58">
        <v>374</v>
      </c>
      <c r="AE57" s="58">
        <f>'Data for Table (Page1)'!AD234</f>
        <v>352</v>
      </c>
      <c r="AF57" s="58">
        <f>'Data for Table (Page1)'!AE234</f>
        <v>286</v>
      </c>
      <c r="AG57" s="58">
        <f>'Data for Table (Page1)'!AF234</f>
        <v>353</v>
      </c>
      <c r="AH57" s="58">
        <f>'Data for Table (Page1)'!AG234</f>
        <v>257</v>
      </c>
      <c r="AI57" s="58">
        <f>'Data for Table (Page1)'!AH234</f>
        <v>301</v>
      </c>
      <c r="AJ57" s="58">
        <f>'Data for Table (Page1)'!AI234</f>
        <v>272</v>
      </c>
      <c r="AK57" s="58">
        <f>'Data for Table (Page1)'!AJ234</f>
        <v>261</v>
      </c>
    </row>
    <row r="58" spans="1:37" s="38" customFormat="1" ht="11.25" customHeight="1">
      <c r="B58" s="37" t="s">
        <v>36</v>
      </c>
      <c r="D58" s="36">
        <v>188</v>
      </c>
      <c r="E58" s="36">
        <v>646</v>
      </c>
      <c r="F58" s="36">
        <f>'Data for Table (Page1)'!F235</f>
        <v>403</v>
      </c>
      <c r="G58" s="36">
        <f>'Data for Table (Page1)'!G235</f>
        <v>312</v>
      </c>
      <c r="H58" s="36">
        <f>'Data for Table (Page1)'!H235</f>
        <v>480</v>
      </c>
      <c r="I58" s="36">
        <f>'Data for Table (Page1)'!I235</f>
        <v>569</v>
      </c>
      <c r="J58" s="36">
        <f>'Data for Table (Page1)'!J235</f>
        <v>662</v>
      </c>
      <c r="K58" s="36">
        <f>'Data for Table (Page1)'!K235</f>
        <v>715</v>
      </c>
      <c r="L58" s="36">
        <f>'Data for Table (Page1)'!L235</f>
        <v>638</v>
      </c>
      <c r="M58" s="36">
        <f>'Data for Table (Page1)'!M235</f>
        <v>721</v>
      </c>
      <c r="N58" s="36">
        <f>'Data for Table (Page1)'!N235</f>
        <v>950</v>
      </c>
      <c r="O58" s="36">
        <f>'Data for Table (Page1)'!O235</f>
        <v>1117</v>
      </c>
      <c r="P58" s="36">
        <f>'Data for Table (Page1)'!P235</f>
        <v>1189</v>
      </c>
      <c r="Q58" s="36">
        <f>'Data for Table (Page1)'!Q235</f>
        <v>1105</v>
      </c>
      <c r="R58" s="36">
        <f>'Data for Table (Page1)'!R235</f>
        <v>1401</v>
      </c>
      <c r="S58" s="36">
        <f>'Data for Table (Page1)'!S235</f>
        <v>994</v>
      </c>
      <c r="T58" s="36">
        <f>'Data for Table (Page1)'!T235</f>
        <v>1571</v>
      </c>
      <c r="U58" s="58">
        <f>'Data for Table (Page1)'!U235</f>
        <v>1500</v>
      </c>
      <c r="V58" s="58">
        <f>'Data for Table (Page1)'!V235</f>
        <v>1753</v>
      </c>
      <c r="W58" s="58">
        <f>'Data for Table (Page1)'!W235</f>
        <v>1753</v>
      </c>
      <c r="X58" s="58">
        <f>'Data for Table (Page1)'!X235</f>
        <v>2964</v>
      </c>
      <c r="Y58" s="58">
        <f>'Data for Table (Page1)'!Y235</f>
        <v>1637</v>
      </c>
      <c r="Z58" s="58">
        <f>'Data for Table (Page1)'!Z235</f>
        <v>1739</v>
      </c>
      <c r="AA58" s="58"/>
      <c r="AB58" s="58">
        <f>'Data for Table (Page1)'!AA235</f>
        <v>2</v>
      </c>
      <c r="AC58" s="58">
        <f>'Data for Table (Page1)'!AB235</f>
        <v>0</v>
      </c>
      <c r="AD58" s="58">
        <v>2</v>
      </c>
      <c r="AE58" s="58">
        <f>'Data for Table (Page1)'!AD235</f>
        <v>0</v>
      </c>
      <c r="AF58" s="58">
        <f>'Data for Table (Page1)'!AE235</f>
        <v>0</v>
      </c>
      <c r="AG58" s="58">
        <f>'Data for Table (Page1)'!AF235</f>
        <v>2</v>
      </c>
      <c r="AH58" s="58">
        <f>'Data for Table (Page1)'!AG235</f>
        <v>0</v>
      </c>
      <c r="AI58" s="58">
        <f>'Data for Table (Page1)'!AH235</f>
        <v>0</v>
      </c>
      <c r="AJ58" s="58">
        <f>'Data for Table (Page1)'!AI235</f>
        <v>0</v>
      </c>
      <c r="AK58" s="58">
        <f>'Data for Table (Page1)'!AJ235</f>
        <v>0</v>
      </c>
    </row>
    <row r="59" spans="1:37" s="38" customFormat="1" ht="11.25" customHeight="1">
      <c r="A59" s="50"/>
      <c r="B59" s="51"/>
      <c r="C59" s="183" t="s">
        <v>20</v>
      </c>
      <c r="D59" s="184">
        <f t="shared" ref="D59:T59" si="35">SUM(D56:D58)</f>
        <v>3665</v>
      </c>
      <c r="E59" s="184">
        <f t="shared" si="35"/>
        <v>4071</v>
      </c>
      <c r="F59" s="184">
        <f t="shared" si="35"/>
        <v>6650</v>
      </c>
      <c r="G59" s="184">
        <f t="shared" si="35"/>
        <v>4902</v>
      </c>
      <c r="H59" s="184">
        <f t="shared" si="35"/>
        <v>4917</v>
      </c>
      <c r="I59" s="184">
        <f t="shared" si="35"/>
        <v>5084</v>
      </c>
      <c r="J59" s="184">
        <f t="shared" si="35"/>
        <v>5792</v>
      </c>
      <c r="K59" s="184">
        <f t="shared" si="35"/>
        <v>5598</v>
      </c>
      <c r="L59" s="184">
        <f t="shared" si="35"/>
        <v>6737</v>
      </c>
      <c r="M59" s="184">
        <f t="shared" si="35"/>
        <v>7009</v>
      </c>
      <c r="N59" s="184">
        <f t="shared" si="35"/>
        <v>7351</v>
      </c>
      <c r="O59" s="184">
        <f t="shared" si="35"/>
        <v>7084</v>
      </c>
      <c r="P59" s="184">
        <f t="shared" si="35"/>
        <v>6647</v>
      </c>
      <c r="Q59" s="184">
        <f t="shared" si="35"/>
        <v>6869</v>
      </c>
      <c r="R59" s="184">
        <f t="shared" si="35"/>
        <v>8924</v>
      </c>
      <c r="S59" s="184">
        <f t="shared" si="35"/>
        <v>9370</v>
      </c>
      <c r="T59" s="184">
        <f t="shared" si="35"/>
        <v>11059</v>
      </c>
      <c r="U59" s="185">
        <f t="shared" ref="U59:AD59" si="36">SUM(U56:U58)</f>
        <v>10868</v>
      </c>
      <c r="V59" s="185">
        <f t="shared" si="36"/>
        <v>10145</v>
      </c>
      <c r="W59" s="185">
        <f t="shared" si="36"/>
        <v>11128</v>
      </c>
      <c r="X59" s="185">
        <f t="shared" si="36"/>
        <v>14115</v>
      </c>
      <c r="Y59" s="185">
        <f t="shared" si="36"/>
        <v>17889</v>
      </c>
      <c r="Z59" s="185">
        <f t="shared" si="36"/>
        <v>20411</v>
      </c>
      <c r="AA59" s="185"/>
      <c r="AB59" s="185">
        <f t="shared" si="36"/>
        <v>8974</v>
      </c>
      <c r="AC59" s="185">
        <f t="shared" si="36"/>
        <v>8673</v>
      </c>
      <c r="AD59" s="185">
        <f t="shared" si="36"/>
        <v>8733</v>
      </c>
      <c r="AE59" s="185">
        <f t="shared" ref="AE59" si="37">SUM(AE56:AE58)</f>
        <v>8310.75</v>
      </c>
      <c r="AF59" s="185">
        <f t="shared" ref="AF59:AK59" si="38">SUM(AF56:AF58)</f>
        <v>8142.5</v>
      </c>
      <c r="AG59" s="185">
        <f t="shared" si="38"/>
        <v>7653</v>
      </c>
      <c r="AH59" s="185">
        <f t="shared" ref="AH59:AJ59" si="39">SUM(AH56:AH58)</f>
        <v>6975</v>
      </c>
      <c r="AI59" s="185">
        <f t="shared" si="39"/>
        <v>7310</v>
      </c>
      <c r="AJ59" s="185">
        <f t="shared" si="39"/>
        <v>7377</v>
      </c>
      <c r="AK59" s="185">
        <f t="shared" si="38"/>
        <v>7174</v>
      </c>
    </row>
    <row r="60" spans="1:37" s="41" customFormat="1" ht="15" customHeight="1">
      <c r="A60" s="4" t="s">
        <v>42</v>
      </c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</row>
    <row r="61" spans="1:37" s="35" customFormat="1" ht="12" customHeight="1">
      <c r="B61" s="35" t="s">
        <v>34</v>
      </c>
      <c r="D61" s="43">
        <f>D7+D13+D18+D23+D28+D34+D44+D56</f>
        <v>363661</v>
      </c>
      <c r="E61" s="43">
        <f>E7+E13+E18+E23+E28+E34+E44+E56</f>
        <v>355707</v>
      </c>
      <c r="F61" s="43">
        <f>'Data for Table (Page1)'!F239</f>
        <v>357571</v>
      </c>
      <c r="G61" s="43">
        <f>'Data for Table (Page1)'!G239</f>
        <v>347083</v>
      </c>
      <c r="H61" s="43">
        <f>'Data for Table (Page1)'!H239</f>
        <v>346880</v>
      </c>
      <c r="I61" s="43">
        <f>'Data for Table (Page1)'!I239</f>
        <v>349988</v>
      </c>
      <c r="J61" s="43">
        <f>'Data for Table (Page1)'!J239</f>
        <v>361153</v>
      </c>
      <c r="K61" s="43">
        <f>'Data for Table (Page1)'!K239</f>
        <v>362460</v>
      </c>
      <c r="L61" s="43">
        <f>'Data for Table (Page1)'!L239</f>
        <v>370362</v>
      </c>
      <c r="M61" s="43">
        <f>'Data for Table (Page1)'!M239</f>
        <v>384127</v>
      </c>
      <c r="N61" s="43">
        <f>'Data for Table (Page1)'!N239</f>
        <v>402370</v>
      </c>
      <c r="O61" s="43">
        <f>'Data for Table (Page1)'!O239</f>
        <v>399067</v>
      </c>
      <c r="P61" s="43">
        <f>'Data for Table (Page1)'!P239</f>
        <v>372661</v>
      </c>
      <c r="Q61" s="43">
        <f>'Data for Table (Page1)'!Q239</f>
        <v>353578</v>
      </c>
      <c r="R61" s="43">
        <f>'Data for Table (Page1)'!R239</f>
        <v>342913</v>
      </c>
      <c r="S61" s="43">
        <f>'Data for Table (Page1)'!S239</f>
        <v>341579</v>
      </c>
      <c r="T61" s="43">
        <f>'Data for Table (Page1)'!T239</f>
        <v>357221</v>
      </c>
      <c r="U61" s="61">
        <f>'Data for Table (Page1)'!U239</f>
        <v>378681</v>
      </c>
      <c r="V61" s="61">
        <f>'Data for Table (Page1)'!V239</f>
        <v>392835</v>
      </c>
      <c r="W61" s="61">
        <f>'Data for Table (Page1)'!W239</f>
        <v>401307</v>
      </c>
      <c r="X61" s="61">
        <f>'Data for Table (Page1)'!X239</f>
        <v>426002</v>
      </c>
      <c r="Y61" s="61">
        <f>'Data for Table (Page1)'!Y239</f>
        <v>453376</v>
      </c>
      <c r="Z61" s="61">
        <f>'Data for Table (Page1)'!Z239</f>
        <v>490161</v>
      </c>
      <c r="AA61" s="61"/>
      <c r="AB61" s="61">
        <f>'Data for Table (Page1)'!AA239</f>
        <v>508499.94</v>
      </c>
      <c r="AC61" s="61">
        <f>'Data for Table (Page1)'!AB239</f>
        <v>518002.97</v>
      </c>
      <c r="AD61" s="105">
        <f>AD56+AD44+AD39+AD28+AD18+AD13+AD7</f>
        <v>514874.53460000001</v>
      </c>
      <c r="AE61" s="105">
        <f>'Data for Table (Page1)'!AD239</f>
        <v>494249.44</v>
      </c>
      <c r="AF61" s="105">
        <f>'Data for Table (Page1)'!AE239</f>
        <v>476343.34599999996</v>
      </c>
      <c r="AG61" s="105">
        <f>'Data for Table (Page1)'!AF239</f>
        <v>450307.96</v>
      </c>
      <c r="AH61" s="105">
        <f>'Data for Table (Page1)'!AG239</f>
        <v>420750.26199999999</v>
      </c>
      <c r="AI61" s="105">
        <f>'Data for Table (Page1)'!AH239</f>
        <v>394724.81900000002</v>
      </c>
      <c r="AJ61" s="105">
        <f>'Data for Table (Page1)'!AI239</f>
        <v>396437.6</v>
      </c>
      <c r="AK61" s="105">
        <f>'Data for Table (Page1)'!AJ239</f>
        <v>402495</v>
      </c>
    </row>
    <row r="62" spans="1:37" s="35" customFormat="1" ht="12" customHeight="1">
      <c r="B62" s="35" t="s">
        <v>35</v>
      </c>
      <c r="D62" s="43">
        <f>SUM(D8+D14+D19+D24+D29+D35+D45+D57)</f>
        <v>242132</v>
      </c>
      <c r="E62" s="43">
        <f>SUM(E8+E14+E19+E24+E29+E35+E45+E57)</f>
        <v>244514</v>
      </c>
      <c r="F62" s="43">
        <f>'Data for Table (Page1)'!F240</f>
        <v>238842</v>
      </c>
      <c r="G62" s="43">
        <f>'Data for Table (Page1)'!G240</f>
        <v>233968</v>
      </c>
      <c r="H62" s="43">
        <f>'Data for Table (Page1)'!H240</f>
        <v>233119</v>
      </c>
      <c r="I62" s="43">
        <f>'Data for Table (Page1)'!I240</f>
        <v>234690</v>
      </c>
      <c r="J62" s="43">
        <f>'Data for Table (Page1)'!J240</f>
        <v>240890</v>
      </c>
      <c r="K62" s="43">
        <f>'Data for Table (Page1)'!K240</f>
        <v>244709</v>
      </c>
      <c r="L62" s="43">
        <f>'Data for Table (Page1)'!L240</f>
        <v>248659</v>
      </c>
      <c r="M62" s="43">
        <f>'Data for Table (Page1)'!M240</f>
        <v>254136</v>
      </c>
      <c r="N62" s="43">
        <f>'Data for Table (Page1)'!N240</f>
        <v>269445</v>
      </c>
      <c r="O62" s="43">
        <f>'Data for Table (Page1)'!O240</f>
        <v>272251</v>
      </c>
      <c r="P62" s="43">
        <f>'Data for Table (Page1)'!P240</f>
        <v>278629</v>
      </c>
      <c r="Q62" s="43">
        <f>'Data for Table (Page1)'!Q240</f>
        <v>273415</v>
      </c>
      <c r="R62" s="43">
        <f>'Data for Table (Page1)'!R240</f>
        <v>264079</v>
      </c>
      <c r="S62" s="43">
        <f>'Data for Table (Page1)'!S240</f>
        <v>251217</v>
      </c>
      <c r="T62" s="43">
        <f>'Data for Table (Page1)'!T240</f>
        <v>252191</v>
      </c>
      <c r="U62" s="61">
        <f>'Data for Table (Page1)'!U240</f>
        <v>255988</v>
      </c>
      <c r="V62" s="61">
        <f>'Data for Table (Page1)'!V240</f>
        <v>271119</v>
      </c>
      <c r="W62" s="61">
        <f>'Data for Table (Page1)'!W240</f>
        <v>279727</v>
      </c>
      <c r="X62" s="61">
        <f>'Data for Table (Page1)'!X240</f>
        <v>297839</v>
      </c>
      <c r="Y62" s="61">
        <f>'Data for Table (Page1)'!Y240</f>
        <v>308772</v>
      </c>
      <c r="Z62" s="61">
        <f>'Data for Table (Page1)'!Z240</f>
        <v>326074</v>
      </c>
      <c r="AA62" s="61"/>
      <c r="AB62" s="61">
        <f>'Data for Table (Page1)'!AA240</f>
        <v>345934.77</v>
      </c>
      <c r="AC62" s="61">
        <f>'Data for Table (Page1)'!AB240</f>
        <v>364544.85999999993</v>
      </c>
      <c r="AD62" s="105">
        <f>AD57+AD51+AD45+AD40+AD29+AD19+AD14+AD8</f>
        <v>380836.99300000002</v>
      </c>
      <c r="AE62" s="105">
        <f>'Data for Table (Page1)'!AD240</f>
        <v>386939.66000000003</v>
      </c>
      <c r="AF62" s="105">
        <f>'Data for Table (Page1)'!AE240</f>
        <v>384386.46600000001</v>
      </c>
      <c r="AG62" s="105">
        <f>'Data for Table (Page1)'!AF240</f>
        <v>370542.26399999997</v>
      </c>
      <c r="AH62" s="105">
        <f>'Data for Table (Page1)'!AG240</f>
        <v>368737.81099999999</v>
      </c>
      <c r="AI62" s="105">
        <f>'Data for Table (Page1)'!AH240</f>
        <v>344749.22900000005</v>
      </c>
      <c r="AJ62" s="105">
        <f>'Data for Table (Page1)'!AI240</f>
        <v>330278.00000000006</v>
      </c>
      <c r="AK62" s="105">
        <f>'Data for Table (Page1)'!AJ240</f>
        <v>332598</v>
      </c>
    </row>
    <row r="63" spans="1:37" s="35" customFormat="1" ht="12" customHeight="1">
      <c r="B63" s="35" t="s">
        <v>37</v>
      </c>
      <c r="D63" s="43">
        <f>SUM(D52)</f>
        <v>11652</v>
      </c>
      <c r="E63" s="43">
        <f>SUM(E52)</f>
        <v>12845</v>
      </c>
      <c r="F63" s="43">
        <f>'Data for Table (Page1)'!F241</f>
        <v>14548</v>
      </c>
      <c r="G63" s="43">
        <f>'Data for Table (Page1)'!G241</f>
        <v>15281</v>
      </c>
      <c r="H63" s="43">
        <f>'Data for Table (Page1)'!H241</f>
        <v>16109</v>
      </c>
      <c r="I63" s="43">
        <f>'Data for Table (Page1)'!I241</f>
        <v>16084</v>
      </c>
      <c r="J63" s="43">
        <f>'Data for Table (Page1)'!J241</f>
        <v>16985</v>
      </c>
      <c r="K63" s="43">
        <f>'Data for Table (Page1)'!K241</f>
        <v>16065</v>
      </c>
      <c r="L63" s="43">
        <f>'Data for Table (Page1)'!L241</f>
        <v>16262</v>
      </c>
      <c r="M63" s="43">
        <f>'Data for Table (Page1)'!M241</f>
        <v>16176</v>
      </c>
      <c r="N63" s="43">
        <f>'Data for Table (Page1)'!N241</f>
        <v>16692</v>
      </c>
      <c r="O63" s="43">
        <f>'Data for Table (Page1)'!O241</f>
        <v>16468</v>
      </c>
      <c r="P63" s="43">
        <f>'Data for Table (Page1)'!P241</f>
        <v>16696</v>
      </c>
      <c r="Q63" s="43">
        <f>'Data for Table (Page1)'!Q241</f>
        <v>16837</v>
      </c>
      <c r="R63" s="43">
        <f>'Data for Table (Page1)'!R241</f>
        <v>17901</v>
      </c>
      <c r="S63" s="43">
        <f>'Data for Table (Page1)'!S241</f>
        <v>18191</v>
      </c>
      <c r="T63" s="43">
        <f>'Data for Table (Page1)'!T241</f>
        <v>19747</v>
      </c>
      <c r="U63" s="61">
        <f>'Data for Table (Page1)'!U241</f>
        <v>20056</v>
      </c>
      <c r="V63" s="61">
        <f>'Data for Table (Page1)'!V241</f>
        <v>22531</v>
      </c>
      <c r="W63" s="61">
        <f>'Data for Table (Page1)'!W241</f>
        <v>23480</v>
      </c>
      <c r="X63" s="61">
        <f>'Data for Table (Page1)'!X241</f>
        <v>23944</v>
      </c>
      <c r="Y63" s="61">
        <f>'Data for Table (Page1)'!Y241</f>
        <v>23989</v>
      </c>
      <c r="Z63" s="61">
        <f>'Data for Table (Page1)'!Z241</f>
        <v>24304</v>
      </c>
      <c r="AA63" s="61"/>
      <c r="AB63" s="61">
        <f>'Data for Table (Page1)'!AA241</f>
        <v>25798.359999999997</v>
      </c>
      <c r="AC63" s="61">
        <f>'Data for Table (Page1)'!AB241</f>
        <v>25356.61</v>
      </c>
      <c r="AD63" s="105">
        <f>AD52+AD46+AD30+AD9</f>
        <v>25995.166799999999</v>
      </c>
      <c r="AE63" s="105">
        <f>'Data for Table (Page1)'!AD241</f>
        <v>26429.87</v>
      </c>
      <c r="AF63" s="105">
        <f>'Data for Table (Page1)'!AE241</f>
        <v>26881.150999999998</v>
      </c>
      <c r="AG63" s="105">
        <f>'Data for Table (Page1)'!AF241</f>
        <v>26615.877000000004</v>
      </c>
      <c r="AH63" s="105">
        <f>'Data for Table (Page1)'!AG241</f>
        <v>27421.833999999999</v>
      </c>
      <c r="AI63" s="105">
        <f>'Data for Table (Page1)'!AH241</f>
        <v>29047.772000000001</v>
      </c>
      <c r="AJ63" s="105">
        <f>'Data for Table (Page1)'!AI241</f>
        <v>28492.37</v>
      </c>
      <c r="AK63" s="105">
        <f>'Data for Table (Page1)'!AJ241</f>
        <v>28403</v>
      </c>
    </row>
    <row r="64" spans="1:37" s="35" customFormat="1" ht="12" customHeight="1">
      <c r="B64" s="35" t="s">
        <v>36</v>
      </c>
      <c r="D64" s="43">
        <f>D10+D15+D20+D25+D31+D36+D47+D53+D58</f>
        <v>68180</v>
      </c>
      <c r="E64" s="43">
        <f>E10+E15+E20+E25+E31+E36+E47+E53+E58</f>
        <v>69968</v>
      </c>
      <c r="F64" s="43">
        <f>'Data for Table (Page1)'!F242</f>
        <v>70090</v>
      </c>
      <c r="G64" s="43">
        <f>'Data for Table (Page1)'!G242</f>
        <v>69926</v>
      </c>
      <c r="H64" s="43">
        <f>'Data for Table (Page1)'!H242</f>
        <v>67289</v>
      </c>
      <c r="I64" s="43">
        <f>'Data for Table (Page1)'!I242</f>
        <v>67650</v>
      </c>
      <c r="J64" s="43">
        <f>'Data for Table (Page1)'!J242</f>
        <v>65922</v>
      </c>
      <c r="K64" s="43">
        <f>'Data for Table (Page1)'!K242</f>
        <v>63186</v>
      </c>
      <c r="L64" s="43">
        <f>'Data for Table (Page1)'!L242</f>
        <v>63693</v>
      </c>
      <c r="M64" s="43">
        <f>'Data for Table (Page1)'!M242</f>
        <v>64204</v>
      </c>
      <c r="N64" s="43">
        <f>'Data for Table (Page1)'!N242</f>
        <v>65128</v>
      </c>
      <c r="O64" s="43">
        <f>'Data for Table (Page1)'!O242</f>
        <v>68987</v>
      </c>
      <c r="P64" s="43">
        <f>'Data for Table (Page1)'!P242</f>
        <v>72434</v>
      </c>
      <c r="Q64" s="43">
        <f>'Data for Table (Page1)'!Q242</f>
        <v>70930</v>
      </c>
      <c r="R64" s="43">
        <f>'Data for Table (Page1)'!R242</f>
        <v>68991</v>
      </c>
      <c r="S64" s="43">
        <f>'Data for Table (Page1)'!S242</f>
        <v>68483</v>
      </c>
      <c r="T64" s="43">
        <f>'Data for Table (Page1)'!T242</f>
        <v>72451</v>
      </c>
      <c r="U64" s="61">
        <f>'Data for Table (Page1)'!U242</f>
        <v>74687</v>
      </c>
      <c r="V64" s="61">
        <f>'Data for Table (Page1)'!V242</f>
        <v>79370</v>
      </c>
      <c r="W64" s="61">
        <f>'Data for Table (Page1)'!W242</f>
        <v>80669</v>
      </c>
      <c r="X64" s="61">
        <f>'Data for Table (Page1)'!X242</f>
        <v>76869</v>
      </c>
      <c r="Y64" s="61">
        <f>'Data for Table (Page1)'!Y242</f>
        <v>78173</v>
      </c>
      <c r="Z64" s="61">
        <f>'Data for Table (Page1)'!Z242</f>
        <v>81196</v>
      </c>
      <c r="AA64" s="61"/>
      <c r="AB64" s="61">
        <f>'Data for Table (Page1)'!AA242</f>
        <v>82751.22</v>
      </c>
      <c r="AC64" s="61">
        <f>'Data for Table (Page1)'!AB242</f>
        <v>85173.390000000014</v>
      </c>
      <c r="AD64" s="105">
        <f>AD58+AD53+AD47+AD41+AD31+AD20+AD15+AD10</f>
        <v>82432.16339999999</v>
      </c>
      <c r="AE64" s="105">
        <f>'Data for Table (Page1)'!AD242</f>
        <v>80586.48000000001</v>
      </c>
      <c r="AF64" s="105">
        <f>'Data for Table (Page1)'!AE242</f>
        <v>77426.736999999994</v>
      </c>
      <c r="AG64" s="105">
        <f>'Data for Table (Page1)'!AF242</f>
        <v>72667.936999999991</v>
      </c>
      <c r="AH64" s="105">
        <f>'Data for Table (Page1)'!AG242</f>
        <v>72005.466</v>
      </c>
      <c r="AI64" s="105">
        <f>'Data for Table (Page1)'!AH242</f>
        <v>69354.987999999998</v>
      </c>
      <c r="AJ64" s="105">
        <f>'Data for Table (Page1)'!AI242</f>
        <v>67708.13</v>
      </c>
      <c r="AK64" s="105">
        <f>'Data for Table (Page1)'!AJ242</f>
        <v>71113</v>
      </c>
    </row>
    <row r="65" spans="1:47" s="35" customFormat="1" ht="12" customHeight="1">
      <c r="C65" s="35" t="s">
        <v>20</v>
      </c>
      <c r="D65" s="43">
        <f t="shared" ref="D65:T65" si="40">SUM(D61:D64)</f>
        <v>685625</v>
      </c>
      <c r="E65" s="43">
        <f t="shared" si="40"/>
        <v>683034</v>
      </c>
      <c r="F65" s="43">
        <f t="shared" si="40"/>
        <v>681051</v>
      </c>
      <c r="G65" s="43">
        <f t="shared" si="40"/>
        <v>666258</v>
      </c>
      <c r="H65" s="43">
        <f t="shared" si="40"/>
        <v>663397</v>
      </c>
      <c r="I65" s="43">
        <f t="shared" si="40"/>
        <v>668412</v>
      </c>
      <c r="J65" s="43">
        <f t="shared" si="40"/>
        <v>684950</v>
      </c>
      <c r="K65" s="43">
        <f t="shared" si="40"/>
        <v>686420</v>
      </c>
      <c r="L65" s="43">
        <f t="shared" si="40"/>
        <v>698976</v>
      </c>
      <c r="M65" s="43">
        <f t="shared" si="40"/>
        <v>718643</v>
      </c>
      <c r="N65" s="43">
        <f t="shared" si="40"/>
        <v>753635</v>
      </c>
      <c r="O65" s="43">
        <f t="shared" si="40"/>
        <v>756773</v>
      </c>
      <c r="P65" s="43">
        <f t="shared" si="40"/>
        <v>740420</v>
      </c>
      <c r="Q65" s="43">
        <f t="shared" si="40"/>
        <v>714760</v>
      </c>
      <c r="R65" s="43">
        <f t="shared" si="40"/>
        <v>693884</v>
      </c>
      <c r="S65" s="43">
        <f t="shared" si="40"/>
        <v>679470</v>
      </c>
      <c r="T65" s="43">
        <f t="shared" si="40"/>
        <v>701610</v>
      </c>
      <c r="U65" s="61">
        <f t="shared" ref="U65:AB65" si="41">SUM(U61:U64)</f>
        <v>729412</v>
      </c>
      <c r="V65" s="61">
        <f t="shared" si="41"/>
        <v>765855</v>
      </c>
      <c r="W65" s="61">
        <f t="shared" si="41"/>
        <v>785183</v>
      </c>
      <c r="X65" s="61">
        <f t="shared" si="41"/>
        <v>824654</v>
      </c>
      <c r="Y65" s="61">
        <f t="shared" si="41"/>
        <v>864310</v>
      </c>
      <c r="Z65" s="61">
        <f t="shared" si="41"/>
        <v>921735</v>
      </c>
      <c r="AA65" s="61"/>
      <c r="AB65" s="61">
        <f t="shared" si="41"/>
        <v>962984.28999999992</v>
      </c>
      <c r="AC65" s="61">
        <f>SUM(AC61:AC64)</f>
        <v>993077.82999999984</v>
      </c>
      <c r="AD65" s="105">
        <f>SUM(AD61:AD64)</f>
        <v>1004138.8578</v>
      </c>
      <c r="AE65" s="105">
        <f>SUM(AE61:AE64)</f>
        <v>988205.45000000007</v>
      </c>
      <c r="AF65" s="105">
        <f t="shared" ref="AF65:AK65" si="42">SUM(AF61:AF64)</f>
        <v>965037.69999999984</v>
      </c>
      <c r="AG65" s="105">
        <f t="shared" si="42"/>
        <v>920134.03799999994</v>
      </c>
      <c r="AH65" s="105">
        <f t="shared" ref="AH65:AJ65" si="43">SUM(AH61:AH64)</f>
        <v>888915.37300000002</v>
      </c>
      <c r="AI65" s="105">
        <f t="shared" si="43"/>
        <v>837876.80800000008</v>
      </c>
      <c r="AJ65" s="105">
        <f t="shared" si="43"/>
        <v>822916.10000000009</v>
      </c>
      <c r="AK65" s="105">
        <f t="shared" si="42"/>
        <v>834609</v>
      </c>
      <c r="AL65" s="74"/>
    </row>
    <row r="66" spans="1:47" s="41" customFormat="1" ht="6.75" customHeight="1"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7"/>
      <c r="AI66" s="7"/>
      <c r="AJ66" s="7"/>
      <c r="AK66" s="7"/>
    </row>
    <row r="67" spans="1:47" s="45" customFormat="1" ht="12.95" customHeight="1">
      <c r="A67" s="145" t="s">
        <v>118</v>
      </c>
      <c r="B67" s="146"/>
      <c r="C67" s="146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8"/>
      <c r="AI67" s="148"/>
      <c r="AJ67" s="148"/>
      <c r="AK67" s="148"/>
    </row>
    <row r="68" spans="1:47" s="48" customFormat="1" ht="15.75">
      <c r="A68" s="150" t="s">
        <v>125</v>
      </c>
      <c r="B68" s="146"/>
      <c r="C68" s="146"/>
      <c r="D68" s="147"/>
      <c r="E68" s="147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9"/>
      <c r="AA68" s="149"/>
      <c r="AB68" s="149"/>
      <c r="AC68" s="149"/>
      <c r="AD68" s="149"/>
      <c r="AE68" s="149"/>
      <c r="AF68" s="149"/>
      <c r="AG68" s="149"/>
      <c r="AH68" s="148"/>
      <c r="AI68" s="148"/>
      <c r="AJ68" s="148"/>
      <c r="AK68" s="148"/>
    </row>
    <row r="69" spans="1:47" s="48" customFormat="1" ht="15.75">
      <c r="A69" s="150" t="s">
        <v>143</v>
      </c>
      <c r="B69" s="150"/>
      <c r="C69" s="150"/>
      <c r="D69" s="152"/>
      <c r="E69" s="152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3"/>
      <c r="AI69" s="153"/>
      <c r="AJ69" s="153"/>
      <c r="AK69" s="153"/>
    </row>
    <row r="70" spans="1:47" s="38" customFormat="1" ht="15.75">
      <c r="A70" s="145" t="s">
        <v>119</v>
      </c>
      <c r="B70" s="149"/>
      <c r="C70" s="150"/>
      <c r="D70" s="152"/>
      <c r="E70" s="152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3"/>
      <c r="AI70" s="153"/>
      <c r="AJ70" s="153"/>
      <c r="AK70" s="153"/>
    </row>
    <row r="71" spans="1:47" s="48" customFormat="1" ht="3" customHeight="1">
      <c r="B71" s="146"/>
      <c r="C71" s="146"/>
      <c r="D71" s="147"/>
      <c r="E71" s="147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/>
      <c r="AG71" s="149"/>
      <c r="AH71" s="148"/>
      <c r="AI71" s="148"/>
      <c r="AJ71" s="148"/>
      <c r="AK71" s="148"/>
    </row>
    <row r="72" spans="1:47" s="48" customFormat="1" ht="15.75">
      <c r="A72" s="49" t="s">
        <v>117</v>
      </c>
      <c r="B72" s="146"/>
      <c r="C72" s="146"/>
      <c r="D72" s="147"/>
      <c r="E72" s="147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49"/>
      <c r="U72" s="149"/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/>
      <c r="AG72" s="149"/>
      <c r="AH72" s="148"/>
      <c r="AI72" s="148"/>
      <c r="AJ72" s="148"/>
      <c r="AK72" s="148"/>
      <c r="AL72" s="49" t="s">
        <v>117</v>
      </c>
      <c r="AU72" s="142" t="s">
        <v>117</v>
      </c>
    </row>
    <row r="73" spans="1:47" s="48" customFormat="1" ht="13.5">
      <c r="A73" s="143" t="s">
        <v>153</v>
      </c>
      <c r="B73" s="31"/>
      <c r="C73" s="31"/>
      <c r="D73" s="46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130"/>
      <c r="AI73" s="130"/>
      <c r="AJ73" s="130"/>
      <c r="AK73" s="130"/>
      <c r="AL73" s="143" t="s">
        <v>153</v>
      </c>
      <c r="AU73" s="143" t="s">
        <v>153</v>
      </c>
    </row>
    <row r="74" spans="1:47" ht="10.5" customHeight="1">
      <c r="A74" s="154"/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AL74" s="143"/>
      <c r="AU74" s="143"/>
    </row>
    <row r="75" spans="1:47" ht="10.5" customHeight="1">
      <c r="A75" s="141"/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</row>
    <row r="76" spans="1:47" ht="10.5" customHeight="1">
      <c r="A76" s="141"/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</row>
    <row r="77" spans="1:47" ht="10.5" customHeight="1">
      <c r="A77" s="141"/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</row>
    <row r="78" spans="1:47" ht="10.5" customHeight="1">
      <c r="A78" s="141"/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</row>
    <row r="79" spans="1:47" s="4" customFormat="1" ht="12.75" customHeight="1"/>
    <row r="80" spans="1:47" s="4" customFormat="1" ht="12.75" customHeight="1"/>
    <row r="81" spans="38:47" s="4" customFormat="1" ht="12.75" customHeight="1"/>
    <row r="82" spans="38:47" s="3" customFormat="1" ht="12.75" customHeight="1"/>
    <row r="83" spans="38:47" s="3" customFormat="1" ht="12.75" customHeight="1"/>
    <row r="84" spans="38:47" s="3" customFormat="1" ht="12.75" customHeight="1"/>
    <row r="85" spans="38:47" s="3" customFormat="1" ht="12.75" customHeight="1">
      <c r="AL85" s="49"/>
      <c r="AU85" s="142"/>
    </row>
    <row r="86" spans="38:47" s="3" customFormat="1" ht="12.75" customHeight="1">
      <c r="AL86" s="143"/>
      <c r="AU86" s="143"/>
    </row>
    <row r="87" spans="38:47" s="4" customFormat="1" ht="12.75" customHeight="1"/>
    <row r="88" spans="38:47" s="3" customFormat="1" ht="12.75" customHeight="1"/>
    <row r="89" spans="38:47" s="3" customFormat="1" ht="12.75" customHeight="1"/>
    <row r="90" spans="38:47" s="3" customFormat="1" ht="12.75" customHeight="1"/>
    <row r="91" spans="38:47" s="3" customFormat="1" ht="12.75" customHeight="1"/>
    <row r="92" spans="38:47" s="3" customFormat="1" ht="12.75" customHeight="1"/>
    <row r="93" spans="38:47" s="4" customFormat="1" ht="12.75" customHeight="1">
      <c r="AL93" s="106"/>
    </row>
    <row r="94" spans="38:47" s="3" customFormat="1" ht="12.75" customHeight="1"/>
    <row r="95" spans="38:47" s="3" customFormat="1" ht="12.75" customHeight="1"/>
    <row r="96" spans="38:47" s="3" customFormat="1" ht="12.75" customHeight="1"/>
    <row r="97" s="3" customFormat="1" ht="12.75" customHeight="1"/>
    <row r="98" s="3" customFormat="1" ht="12.75" customHeight="1"/>
    <row r="99" s="4" customFormat="1" ht="12.75" customHeight="1"/>
    <row r="100" s="4" customFormat="1" ht="12.75" customHeight="1"/>
    <row r="101" s="4" customFormat="1" ht="12.75" customHeight="1"/>
    <row r="102" s="4" customFormat="1" ht="12.75" customHeight="1"/>
    <row r="103" s="4" customFormat="1" ht="12.75" customHeight="1"/>
    <row r="104" s="3" customFormat="1" ht="12.75" customHeight="1"/>
    <row r="105" s="4" customFormat="1" ht="12.75" customHeight="1"/>
    <row r="106" s="4" customFormat="1" ht="12.75" customHeight="1"/>
    <row r="107" s="4" customFormat="1" ht="12.75" customHeight="1"/>
    <row r="108" s="3" customFormat="1" ht="12.75" customHeight="1"/>
    <row r="109" s="3" customFormat="1" ht="12.75" customHeight="1"/>
    <row r="110" s="3" customFormat="1" ht="12.75" customHeight="1"/>
    <row r="111" s="3" customFormat="1" ht="12.75" customHeight="1"/>
    <row r="112" s="4" customFormat="1" ht="12.75" customHeight="1"/>
    <row r="113" spans="38:38" s="3" customFormat="1" ht="12.75" customHeight="1"/>
    <row r="114" spans="38:38" s="3" customFormat="1" ht="12.75" customHeight="1"/>
    <row r="115" spans="38:38" s="3" customFormat="1" ht="12.75" customHeight="1"/>
    <row r="116" spans="38:38" s="3" customFormat="1" ht="12.75" customHeight="1"/>
    <row r="117" spans="38:38" s="4" customFormat="1" ht="12.75" customHeight="1"/>
    <row r="118" spans="38:38" s="3" customFormat="1" ht="12.75" customHeight="1">
      <c r="AL118" s="17"/>
    </row>
    <row r="119" spans="38:38" s="3" customFormat="1" ht="12.75" customHeight="1"/>
    <row r="120" spans="38:38" s="3" customFormat="1" ht="12.75" customHeight="1"/>
    <row r="121" spans="38:38" s="3" customFormat="1" ht="12.75" customHeight="1"/>
    <row r="122" spans="38:38" s="4" customFormat="1" ht="12.75" customHeight="1"/>
    <row r="123" spans="38:38" s="3" customFormat="1" ht="12.75" customHeight="1"/>
    <row r="124" spans="38:38" s="3" customFormat="1" ht="12.75" customHeight="1"/>
    <row r="125" spans="38:38" s="3" customFormat="1" ht="12.75" customHeight="1"/>
    <row r="126" spans="38:38" s="3" customFormat="1" ht="12.75" customHeight="1"/>
    <row r="127" spans="38:38" s="4" customFormat="1" ht="12.75" customHeight="1"/>
    <row r="128" spans="38:38" s="4" customFormat="1" ht="12.75" customHeight="1"/>
    <row r="129" s="4" customFormat="1" ht="12.75" customHeight="1"/>
    <row r="130" s="3" customFormat="1" ht="12.75" customHeight="1"/>
    <row r="131" ht="12.75" customHeight="1"/>
    <row r="132" ht="12.75" customHeight="1"/>
    <row r="133" ht="12.75" customHeight="1"/>
    <row r="134" s="4" customFormat="1" ht="12.75" customHeight="1"/>
    <row r="135" ht="12.75" customHeight="1"/>
    <row r="136" ht="12.75" customHeight="1"/>
    <row r="137" ht="12.75" customHeight="1"/>
    <row r="138" ht="12.75" customHeight="1"/>
    <row r="139" s="4" customFormat="1" ht="12.75" customHeight="1"/>
    <row r="140" ht="12.75" customHeight="1"/>
    <row r="141" ht="12.75" customHeight="1"/>
    <row r="142" ht="12.75" customHeight="1"/>
    <row r="143" ht="12.75" customHeight="1"/>
    <row r="144" s="4" customFormat="1" ht="12.75" customHeight="1"/>
    <row r="145" s="4" customFormat="1" ht="12.75" customHeight="1"/>
    <row r="146" s="4" customFormat="1" ht="12.75" customHeight="1"/>
    <row r="147" s="4" customFormat="1" ht="12.75" customHeight="1"/>
    <row r="148" s="5" customFormat="1" ht="12.75" customHeight="1"/>
    <row r="149" s="4" customFormat="1" ht="12.75" hidden="1" customHeight="1" thickBot="1"/>
    <row r="150" s="4" customFormat="1" ht="12.75" hidden="1" customHeight="1"/>
    <row r="151" s="4" customFormat="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s="4" customFormat="1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s="4" customFormat="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s="4" customFormat="1" ht="12.75" hidden="1" customHeight="1"/>
    <row r="167" s="5" customFormat="1" ht="12.75" hidden="1" customHeight="1"/>
    <row r="168" s="5" customFormat="1" ht="12.75" hidden="1" customHeight="1"/>
    <row r="169" s="5" customFormat="1" ht="12.75" hidden="1" customHeight="1"/>
    <row r="170" ht="12.75" hidden="1" customHeight="1"/>
    <row r="171" s="4" customFormat="1" ht="12.75" customHeight="1"/>
    <row r="172" s="4" customFormat="1" ht="12.75" customHeight="1"/>
    <row r="173" s="4" customFormat="1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s="4" customFormat="1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s="4" customFormat="1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s="4" customFormat="1" ht="12.75" customHeight="1"/>
    <row r="192" s="4" customFormat="1" ht="12.75" customHeight="1"/>
    <row r="193" s="4" customFormat="1" ht="12.75" customHeight="1"/>
    <row r="194" s="4" customFormat="1" ht="12.75" customHeight="1"/>
    <row r="195" s="4" customFormat="1" ht="12.75" customHeight="1"/>
    <row r="196" s="4" customFormat="1" ht="12.75" customHeight="1"/>
    <row r="197" s="4" customFormat="1" ht="12.75" hidden="1" customHeight="1" thickBot="1"/>
    <row r="198" s="4" customFormat="1" ht="12.75" hidden="1" customHeight="1"/>
    <row r="199" s="4" customFormat="1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s="4" customFormat="1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s="4" customFormat="1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s="4" customFormat="1" ht="12.75" hidden="1" customHeight="1"/>
    <row r="215" s="4" customFormat="1" ht="12.75" hidden="1" customHeight="1"/>
    <row r="216" s="4" customFormat="1" ht="12.75" hidden="1" customHeight="1"/>
    <row r="217" s="4" customFormat="1" ht="12.75" hidden="1" customHeight="1"/>
    <row r="218" s="5" customFormat="1" ht="12.75" hidden="1" customHeight="1"/>
    <row r="219" s="4" customFormat="1" ht="12.75" customHeight="1"/>
    <row r="220" s="4" customFormat="1" ht="12.75" customHeight="1"/>
    <row r="221" s="4" customFormat="1" ht="12.75" customHeight="1"/>
    <row r="222" ht="12.75" customHeight="1"/>
    <row r="223" ht="12.75" customHeight="1"/>
    <row r="224" ht="12.75" customHeight="1"/>
    <row r="225" ht="12.75" customHeight="1"/>
    <row r="226" s="4" customFormat="1" ht="12.75" customHeight="1"/>
    <row r="227" ht="12.75" customHeight="1"/>
    <row r="228" ht="12.75" customHeight="1"/>
    <row r="229" ht="12.75" customHeight="1"/>
    <row r="230" ht="12.75" customHeight="1"/>
    <row r="231" s="4" customFormat="1" ht="12.75" customHeight="1"/>
    <row r="232" ht="12.75" customHeight="1"/>
    <row r="233" ht="12.75" customHeight="1"/>
    <row r="234" ht="12.75" customHeight="1"/>
    <row r="235" ht="12.75" customHeight="1"/>
    <row r="236" s="4" customFormat="1" ht="12.75" customHeight="1"/>
    <row r="237" s="4" customFormat="1" ht="12.75" customHeight="1"/>
    <row r="238" s="4" customFormat="1" ht="12.75" customHeight="1"/>
    <row r="239" s="4" customFormat="1" ht="12.75" customHeight="1"/>
    <row r="240" s="5" customFormat="1" ht="12.75" customHeight="1"/>
    <row r="241" s="4" customFormat="1" ht="12.75" customHeight="1"/>
    <row r="242" s="4" customFormat="1" ht="12.75" customHeight="1"/>
    <row r="243" s="4" customFormat="1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s="4" customFormat="1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s="4" customFormat="1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s="4" customFormat="1" ht="12.75" customHeight="1"/>
    <row r="262" s="4" customFormat="1" ht="12.75" customHeight="1"/>
    <row r="263" s="4" customFormat="1" ht="12.75" customHeight="1"/>
    <row r="264" s="4" customFormat="1" ht="12.75" customHeight="1"/>
    <row r="265" s="4" customFormat="1" ht="12.75" customHeight="1"/>
    <row r="266" ht="12.75" customHeight="1"/>
    <row r="267" s="4" customFormat="1" ht="12.75" customHeight="1"/>
    <row r="268" s="4" customFormat="1" ht="12.75" customHeight="1"/>
    <row r="269" s="4" customFormat="1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s="4" customFormat="1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s="4" customFormat="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s="4" customFormat="1" ht="12.75" customHeight="1"/>
    <row r="288" s="4" customFormat="1" ht="12.75" customHeight="1"/>
    <row r="289" s="4" customFormat="1" ht="12.75" customHeight="1"/>
    <row r="290" s="4" customFormat="1" ht="12.75" customHeight="1"/>
    <row r="291" s="4" customFormat="1" ht="12.75" customHeight="1"/>
    <row r="292" ht="12.75" customHeight="1"/>
    <row r="293" s="4" customFormat="1" ht="12.75" customHeight="1"/>
    <row r="294" ht="12.75" customHeight="1"/>
    <row r="295" s="4" customFormat="1" ht="10.5" customHeight="1"/>
    <row r="296" ht="10.5" customHeight="1"/>
    <row r="297" ht="10.5" customHeight="1"/>
    <row r="298" ht="10.5" customHeight="1"/>
    <row r="299" ht="6" customHeight="1"/>
    <row r="300" s="4" customFormat="1" ht="10.5" customHeight="1"/>
    <row r="301" ht="10.5" customHeight="1"/>
    <row r="302" ht="10.5" customHeight="1"/>
    <row r="303" ht="10.5" customHeight="1"/>
    <row r="304" ht="6.75" customHeight="1"/>
    <row r="305" spans="38:40" s="4" customFormat="1" ht="10.5" customHeight="1"/>
    <row r="306" spans="38:40" ht="10.5" customHeight="1"/>
    <row r="307" spans="38:40" ht="10.5" customHeight="1"/>
    <row r="308" spans="38:40" ht="10.5" customHeight="1">
      <c r="AL308" s="18"/>
    </row>
    <row r="309" spans="38:40" ht="6" customHeight="1"/>
    <row r="310" spans="38:40" s="4" customFormat="1" ht="10.5" customHeight="1"/>
    <row r="311" spans="38:40" s="4" customFormat="1" ht="10.5" customHeight="1"/>
    <row r="312" spans="38:40" s="4" customFormat="1" ht="10.5" customHeight="1"/>
    <row r="313" spans="38:40" s="4" customFormat="1" ht="10.5" customHeight="1"/>
    <row r="314" spans="38:40" ht="7.5" customHeight="1"/>
    <row r="315" spans="38:40" ht="3.75" customHeight="1"/>
    <row r="316" spans="38:40" s="4" customFormat="1" ht="11.25" customHeight="1">
      <c r="AL316"/>
      <c r="AM316" s="13"/>
      <c r="AN316" s="13"/>
    </row>
    <row r="317" spans="38:40" s="4" customFormat="1" ht="11.25" customHeight="1">
      <c r="AL317"/>
      <c r="AM317" s="13"/>
      <c r="AN317" s="13"/>
    </row>
    <row r="318" spans="38:40" s="4" customFormat="1" ht="11.25" customHeight="1">
      <c r="AL318"/>
      <c r="AM318" s="13"/>
      <c r="AN318" s="13"/>
    </row>
    <row r="319" spans="38:40" s="4" customFormat="1" ht="11.25" customHeight="1">
      <c r="AL319"/>
      <c r="AM319" s="13"/>
      <c r="AN319" s="13"/>
    </row>
    <row r="320" spans="38:40" s="4" customFormat="1" ht="11.25" customHeight="1">
      <c r="AL320"/>
      <c r="AM320" s="13"/>
      <c r="AN320" s="13"/>
    </row>
    <row r="321" spans="17:40" s="4" customFormat="1" ht="11.25" customHeight="1">
      <c r="AL321"/>
    </row>
    <row r="322" spans="17:40" ht="5.25" customHeight="1"/>
    <row r="323" spans="17:40" ht="10.5" customHeight="1"/>
    <row r="324" spans="17:40" ht="10.5" customHeight="1"/>
    <row r="325" spans="17:40" ht="10.5" customHeight="1"/>
    <row r="326" spans="17:40" ht="10.5" customHeight="1">
      <c r="AN326" s="19"/>
    </row>
    <row r="327" spans="17:40" ht="12.75" customHeight="1"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6"/>
      <c r="AI327" s="6"/>
      <c r="AJ327" s="6"/>
      <c r="AK327" s="6"/>
    </row>
    <row r="328" spans="17:40" ht="12.75" customHeight="1">
      <c r="AM328" s="4"/>
    </row>
    <row r="329" spans="17:40" ht="12.75" customHeight="1">
      <c r="AM329" s="4"/>
    </row>
    <row r="330" spans="17:40" ht="12.75" customHeight="1"/>
    <row r="331" spans="17:40" ht="12.75" customHeight="1"/>
    <row r="332" spans="17:40" ht="12.75" customHeight="1"/>
    <row r="333" spans="17:40" ht="12.75" customHeight="1"/>
    <row r="334" spans="17:40" ht="12.75" customHeight="1"/>
    <row r="335" spans="17:40" ht="12.75" customHeight="1"/>
    <row r="336" spans="17:40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</sheetData>
  <phoneticPr fontId="0" type="noConversion"/>
  <printOptions horizontalCentered="1" verticalCentered="1"/>
  <pageMargins left="0.45" right="0.45" top="0.45" bottom="0.45" header="0.3" footer="0.3"/>
  <pageSetup scale="95" orientation="portrait" r:id="rId1"/>
  <headerFooter alignWithMargins="0"/>
  <rowBreaks count="4" manualBreakCount="4">
    <brk id="78" max="46" man="1"/>
    <brk id="126" max="46" man="1"/>
    <brk id="218" max="46" man="1"/>
    <brk id="266" max="46" man="1"/>
  </rowBreaks>
  <colBreaks count="2" manualBreakCount="2">
    <brk id="37" max="73" man="1"/>
    <brk id="46" max="73" man="1"/>
  </colBreaks>
  <ignoredErrors>
    <ignoredError sqref="AD11 AD16 AD61:AD6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</sheetPr>
  <dimension ref="A1:AS248"/>
  <sheetViews>
    <sheetView topLeftCell="A212" zoomScaleNormal="100" workbookViewId="0">
      <selection activeCell="AL233" sqref="AL233"/>
    </sheetView>
  </sheetViews>
  <sheetFormatPr defaultRowHeight="12.75"/>
  <cols>
    <col min="4" max="26" width="0" hidden="1" customWidth="1"/>
    <col min="27" max="38" width="12.140625" customWidth="1"/>
    <col min="39" max="39" width="11.5703125" style="189" hidden="1" customWidth="1"/>
    <col min="40" max="47" width="0" hidden="1" customWidth="1"/>
  </cols>
  <sheetData>
    <row r="1" spans="1:45" ht="13.5" thickBot="1">
      <c r="A1" s="25" t="s">
        <v>12</v>
      </c>
      <c r="B1" s="25"/>
      <c r="C1" s="25"/>
      <c r="D1" s="26"/>
      <c r="E1" s="26"/>
      <c r="F1" s="26" t="s">
        <v>13</v>
      </c>
      <c r="G1" s="26" t="s">
        <v>14</v>
      </c>
      <c r="H1" s="26" t="s">
        <v>15</v>
      </c>
      <c r="I1" s="26" t="s">
        <v>16</v>
      </c>
      <c r="J1" s="26" t="s">
        <v>21</v>
      </c>
      <c r="K1" s="26" t="s">
        <v>23</v>
      </c>
      <c r="L1" s="26" t="s">
        <v>24</v>
      </c>
      <c r="M1" s="26" t="s">
        <v>38</v>
      </c>
      <c r="N1" s="26" t="s">
        <v>44</v>
      </c>
      <c r="O1" s="26" t="s">
        <v>45</v>
      </c>
      <c r="P1" s="26" t="s">
        <v>46</v>
      </c>
      <c r="Q1" s="26" t="s">
        <v>50</v>
      </c>
      <c r="R1" s="27" t="s">
        <v>53</v>
      </c>
      <c r="S1" s="27" t="s">
        <v>55</v>
      </c>
      <c r="T1" s="27" t="s">
        <v>58</v>
      </c>
      <c r="U1" s="27" t="s">
        <v>61</v>
      </c>
      <c r="V1" s="27" t="s">
        <v>63</v>
      </c>
      <c r="W1" s="27" t="s">
        <v>65</v>
      </c>
      <c r="X1" s="27" t="s">
        <v>67</v>
      </c>
      <c r="Y1" s="27" t="s">
        <v>69</v>
      </c>
      <c r="Z1" s="27" t="s">
        <v>71</v>
      </c>
      <c r="AA1" s="27" t="s">
        <v>76</v>
      </c>
      <c r="AB1" s="27" t="s">
        <v>79</v>
      </c>
      <c r="AC1" s="27" t="s">
        <v>107</v>
      </c>
      <c r="AD1" s="27" t="s">
        <v>111</v>
      </c>
      <c r="AE1" s="27" t="s">
        <v>114</v>
      </c>
      <c r="AF1" s="27" t="s">
        <v>136</v>
      </c>
      <c r="AG1" s="27" t="s">
        <v>137</v>
      </c>
      <c r="AH1" s="190" t="s">
        <v>145</v>
      </c>
      <c r="AI1" s="190" t="s">
        <v>148</v>
      </c>
      <c r="AJ1" s="190" t="s">
        <v>150</v>
      </c>
      <c r="AK1" s="190" t="s">
        <v>151</v>
      </c>
      <c r="AL1" s="190"/>
    </row>
    <row r="2" spans="1:45">
      <c r="A2" s="16" t="s">
        <v>56</v>
      </c>
      <c r="B2" s="7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131"/>
      <c r="AF2" s="131"/>
      <c r="AG2" s="131"/>
      <c r="AH2" s="131"/>
      <c r="AI2" s="131"/>
      <c r="AJ2" s="131"/>
      <c r="AK2" s="131"/>
      <c r="AL2" s="131"/>
    </row>
    <row r="3" spans="1:45">
      <c r="A3" s="7" t="s">
        <v>17</v>
      </c>
      <c r="B3" s="7"/>
      <c r="C3" s="7"/>
      <c r="D3" s="7"/>
      <c r="E3" s="7"/>
      <c r="F3" s="7">
        <f t="shared" ref="F3:AH3" si="0">SUM(F4:F7)</f>
        <v>3546</v>
      </c>
      <c r="G3" s="7">
        <f t="shared" si="0"/>
        <v>3287</v>
      </c>
      <c r="H3" s="7">
        <f t="shared" si="0"/>
        <v>3332</v>
      </c>
      <c r="I3" s="7">
        <f t="shared" si="0"/>
        <v>2927</v>
      </c>
      <c r="J3" s="7">
        <f t="shared" si="0"/>
        <v>2889</v>
      </c>
      <c r="K3" s="7">
        <f t="shared" si="0"/>
        <v>3219</v>
      </c>
      <c r="L3" s="7">
        <f t="shared" si="0"/>
        <v>3124</v>
      </c>
      <c r="M3" s="7">
        <f t="shared" si="0"/>
        <v>3244</v>
      </c>
      <c r="N3" s="7">
        <f t="shared" si="0"/>
        <v>3146</v>
      </c>
      <c r="O3" s="7">
        <f t="shared" si="0"/>
        <v>3365</v>
      </c>
      <c r="P3" s="7">
        <f t="shared" si="0"/>
        <v>3266</v>
      </c>
      <c r="Q3" s="4">
        <f t="shared" si="0"/>
        <v>3231</v>
      </c>
      <c r="R3" s="4">
        <f t="shared" si="0"/>
        <v>3011</v>
      </c>
      <c r="S3" s="4">
        <f t="shared" si="0"/>
        <v>3481</v>
      </c>
      <c r="T3" s="4">
        <f t="shared" si="0"/>
        <v>3351</v>
      </c>
      <c r="U3" s="4">
        <f t="shared" si="0"/>
        <v>3449</v>
      </c>
      <c r="V3" s="4">
        <f t="shared" si="0"/>
        <v>3751</v>
      </c>
      <c r="W3" s="4">
        <f t="shared" si="0"/>
        <v>3777</v>
      </c>
      <c r="X3" s="13">
        <f t="shared" si="0"/>
        <v>2737</v>
      </c>
      <c r="Y3" s="13">
        <f t="shared" si="0"/>
        <v>2904</v>
      </c>
      <c r="Z3" s="13">
        <f t="shared" si="0"/>
        <v>3568</v>
      </c>
      <c r="AA3" s="13">
        <f t="shared" si="0"/>
        <v>3888.77</v>
      </c>
      <c r="AB3" s="13">
        <f t="shared" si="0"/>
        <v>3885.7</v>
      </c>
      <c r="AC3" s="13">
        <f t="shared" si="0"/>
        <v>3852.88</v>
      </c>
      <c r="AD3" s="13">
        <f t="shared" si="0"/>
        <v>3406.0199999999995</v>
      </c>
      <c r="AE3" s="13">
        <f t="shared" ref="AE3:AF3" si="1">SUM(AE4:AE7)</f>
        <v>3041.4630000000002</v>
      </c>
      <c r="AF3" s="13">
        <f t="shared" si="1"/>
        <v>2783.61</v>
      </c>
      <c r="AG3" s="13">
        <f t="shared" si="0"/>
        <v>3280.1979999999999</v>
      </c>
      <c r="AH3" s="13">
        <f t="shared" si="0"/>
        <v>3012.511</v>
      </c>
      <c r="AI3" s="13">
        <f t="shared" ref="AI3:AK3" si="2">SUM(AI4:AI7)</f>
        <v>2112</v>
      </c>
      <c r="AJ3" s="13">
        <f t="shared" ref="AJ3" si="3">SUM(AJ4:AJ7)</f>
        <v>2250</v>
      </c>
      <c r="AK3" s="13">
        <f t="shared" si="2"/>
        <v>1838</v>
      </c>
      <c r="AL3" s="13"/>
      <c r="AN3" s="140" t="s">
        <v>134</v>
      </c>
    </row>
    <row r="4" spans="1:45">
      <c r="A4" s="6" t="s">
        <v>1</v>
      </c>
      <c r="B4" s="6"/>
      <c r="C4" s="6"/>
      <c r="D4" s="6"/>
      <c r="E4" s="6"/>
      <c r="F4" s="9">
        <v>183</v>
      </c>
      <c r="G4" s="9">
        <f>94+6</f>
        <v>100</v>
      </c>
      <c r="H4" s="9">
        <f>75+10</f>
        <v>85</v>
      </c>
      <c r="I4" s="9">
        <v>95</v>
      </c>
      <c r="J4" s="9">
        <v>69</v>
      </c>
      <c r="K4" s="9">
        <v>316</v>
      </c>
      <c r="L4" s="9">
        <v>173</v>
      </c>
      <c r="M4" s="9">
        <v>184</v>
      </c>
      <c r="N4" s="9">
        <v>140</v>
      </c>
      <c r="O4" s="9">
        <v>228</v>
      </c>
      <c r="P4" s="9">
        <v>358</v>
      </c>
      <c r="Q4" s="9">
        <v>150</v>
      </c>
      <c r="R4" s="9">
        <v>20</v>
      </c>
      <c r="S4" s="9">
        <v>265</v>
      </c>
      <c r="T4" s="9">
        <v>282</v>
      </c>
      <c r="U4" s="9">
        <v>352</v>
      </c>
      <c r="V4" s="9">
        <v>293</v>
      </c>
      <c r="W4" s="14">
        <v>311</v>
      </c>
      <c r="X4" s="14">
        <v>402</v>
      </c>
      <c r="Y4" s="14">
        <v>368</v>
      </c>
      <c r="Z4" s="14">
        <v>623</v>
      </c>
      <c r="AA4" s="175">
        <v>656</v>
      </c>
      <c r="AB4" s="175">
        <v>591</v>
      </c>
      <c r="AC4" s="175">
        <v>536</v>
      </c>
      <c r="AD4" s="175">
        <v>567</v>
      </c>
      <c r="AE4" s="175">
        <v>545</v>
      </c>
      <c r="AF4" s="175">
        <v>295</v>
      </c>
      <c r="AG4" s="175">
        <v>905.3</v>
      </c>
      <c r="AH4" s="191">
        <v>683.4</v>
      </c>
      <c r="AI4" s="191">
        <v>255</v>
      </c>
      <c r="AJ4" s="191">
        <v>261</v>
      </c>
      <c r="AK4" s="191">
        <v>355</v>
      </c>
      <c r="AL4" s="191"/>
    </row>
    <row r="5" spans="1:45">
      <c r="A5" s="6" t="s">
        <v>2</v>
      </c>
      <c r="B5" s="6"/>
      <c r="C5" s="6"/>
      <c r="D5" s="6"/>
      <c r="E5" s="6"/>
      <c r="F5" s="9">
        <v>1108</v>
      </c>
      <c r="G5" s="9">
        <f>179+808</f>
        <v>987</v>
      </c>
      <c r="H5" s="9">
        <f>632+119</f>
        <v>751</v>
      </c>
      <c r="I5" s="9">
        <f>518+165</f>
        <v>683</v>
      </c>
      <c r="J5" s="9">
        <f>432+178</f>
        <v>610</v>
      </c>
      <c r="K5" s="9">
        <v>537</v>
      </c>
      <c r="L5" s="9">
        <v>637</v>
      </c>
      <c r="M5" s="9">
        <v>681</v>
      </c>
      <c r="N5" s="9">
        <v>590</v>
      </c>
      <c r="O5" s="9">
        <v>746</v>
      </c>
      <c r="P5" s="9">
        <v>605</v>
      </c>
      <c r="Q5" s="9">
        <v>685</v>
      </c>
      <c r="R5" s="9">
        <v>730</v>
      </c>
      <c r="S5" s="9">
        <v>686</v>
      </c>
      <c r="T5" s="9">
        <v>838</v>
      </c>
      <c r="U5" s="9">
        <v>915</v>
      </c>
      <c r="V5" s="9">
        <v>1183</v>
      </c>
      <c r="W5" s="15">
        <v>1478</v>
      </c>
      <c r="X5" s="15">
        <v>1676</v>
      </c>
      <c r="Y5" s="15">
        <v>1547</v>
      </c>
      <c r="Z5" s="15">
        <v>1809</v>
      </c>
      <c r="AA5" s="176">
        <v>1819.65</v>
      </c>
      <c r="AB5" s="176">
        <v>1966.7</v>
      </c>
      <c r="AC5" s="176">
        <v>1861.34</v>
      </c>
      <c r="AD5" s="176">
        <v>1794.82</v>
      </c>
      <c r="AE5" s="176">
        <v>1610.84</v>
      </c>
      <c r="AF5" s="176">
        <v>1579.838</v>
      </c>
      <c r="AG5" s="176">
        <v>1550.4</v>
      </c>
      <c r="AH5" s="191">
        <v>1740.95</v>
      </c>
      <c r="AI5" s="191">
        <v>1161</v>
      </c>
      <c r="AJ5" s="191">
        <v>1369</v>
      </c>
      <c r="AK5" s="191">
        <v>873</v>
      </c>
      <c r="AL5" s="191"/>
      <c r="AM5" s="189">
        <f>SUM(AG4:AG5)</f>
        <v>2455.6999999999998</v>
      </c>
      <c r="AN5" t="s">
        <v>130</v>
      </c>
    </row>
    <row r="6" spans="1:45">
      <c r="A6" s="6" t="s">
        <v>11</v>
      </c>
      <c r="B6" s="6"/>
      <c r="C6" s="6"/>
      <c r="D6" s="6"/>
      <c r="E6" s="6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15"/>
      <c r="X6" s="15"/>
      <c r="Y6" s="15"/>
      <c r="Z6" s="15"/>
      <c r="AA6" s="176">
        <v>0</v>
      </c>
      <c r="AB6" s="176">
        <v>0</v>
      </c>
      <c r="AC6" s="176">
        <v>0</v>
      </c>
      <c r="AD6" s="176">
        <v>0</v>
      </c>
      <c r="AE6" s="176">
        <v>0</v>
      </c>
      <c r="AF6" s="176">
        <v>0</v>
      </c>
      <c r="AG6" s="176">
        <v>0</v>
      </c>
      <c r="AH6" s="191">
        <v>0</v>
      </c>
      <c r="AI6" s="191">
        <v>0</v>
      </c>
      <c r="AJ6" s="191">
        <v>0</v>
      </c>
      <c r="AK6" s="191">
        <v>0</v>
      </c>
      <c r="AL6" s="191"/>
    </row>
    <row r="7" spans="1:45">
      <c r="A7" s="6" t="s">
        <v>22</v>
      </c>
      <c r="B7" s="6"/>
      <c r="C7" s="6"/>
      <c r="D7" s="6"/>
      <c r="E7" s="6"/>
      <c r="F7" s="9">
        <v>2255</v>
      </c>
      <c r="G7" s="9">
        <v>2200</v>
      </c>
      <c r="H7" s="9">
        <v>2496</v>
      </c>
      <c r="I7" s="9">
        <v>2149</v>
      </c>
      <c r="J7" s="9">
        <v>2210</v>
      </c>
      <c r="K7" s="9">
        <v>2366</v>
      </c>
      <c r="L7" s="9">
        <v>2314</v>
      </c>
      <c r="M7" s="9">
        <v>2379</v>
      </c>
      <c r="N7" s="9">
        <v>2416</v>
      </c>
      <c r="O7" s="9">
        <v>2391</v>
      </c>
      <c r="P7" s="9">
        <v>2303</v>
      </c>
      <c r="Q7" s="9">
        <v>2396</v>
      </c>
      <c r="R7" s="9">
        <v>2261</v>
      </c>
      <c r="S7" s="9">
        <v>2530</v>
      </c>
      <c r="T7" s="9">
        <v>2231</v>
      </c>
      <c r="U7" s="9">
        <v>2182</v>
      </c>
      <c r="V7" s="9">
        <v>2275</v>
      </c>
      <c r="W7" s="15">
        <v>1988</v>
      </c>
      <c r="X7" s="15">
        <v>659</v>
      </c>
      <c r="Y7" s="15">
        <v>989</v>
      </c>
      <c r="Z7" s="15">
        <v>1136</v>
      </c>
      <c r="AA7" s="176">
        <v>1413.12</v>
      </c>
      <c r="AB7" s="176">
        <v>1328</v>
      </c>
      <c r="AC7" s="176">
        <v>1455.54</v>
      </c>
      <c r="AD7" s="176">
        <v>1044.2</v>
      </c>
      <c r="AE7" s="176">
        <v>885.62300000000005</v>
      </c>
      <c r="AF7" s="176">
        <v>908.77200000000005</v>
      </c>
      <c r="AG7" s="176">
        <v>824.49800000000005</v>
      </c>
      <c r="AH7" s="191">
        <v>588.16099999999994</v>
      </c>
      <c r="AI7" s="191">
        <v>696</v>
      </c>
      <c r="AJ7" s="191">
        <v>620</v>
      </c>
      <c r="AK7" s="191">
        <v>610</v>
      </c>
      <c r="AL7" s="191"/>
    </row>
    <row r="8" spans="1:45">
      <c r="A8" s="6"/>
      <c r="B8" s="6"/>
      <c r="C8" s="6"/>
      <c r="D8" s="6"/>
      <c r="E8" s="6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N8" t="s">
        <v>135</v>
      </c>
    </row>
    <row r="9" spans="1:45">
      <c r="A9" s="7" t="s">
        <v>18</v>
      </c>
      <c r="B9" s="7"/>
      <c r="C9" s="7"/>
      <c r="D9" s="7"/>
      <c r="E9" s="7"/>
      <c r="F9" s="7">
        <f t="shared" ref="F9:AH9" si="4">SUM(F10:F13)</f>
        <v>26699</v>
      </c>
      <c r="G9" s="7">
        <f t="shared" si="4"/>
        <v>26993</v>
      </c>
      <c r="H9" s="7">
        <f t="shared" si="4"/>
        <v>27652</v>
      </c>
      <c r="I9" s="7">
        <f t="shared" si="4"/>
        <v>28352</v>
      </c>
      <c r="J9" s="7">
        <f t="shared" si="4"/>
        <v>28179</v>
      </c>
      <c r="K9" s="7">
        <f t="shared" si="4"/>
        <v>30979</v>
      </c>
      <c r="L9" s="7">
        <f t="shared" si="4"/>
        <v>30963</v>
      </c>
      <c r="M9" s="7">
        <f t="shared" si="4"/>
        <v>29535</v>
      </c>
      <c r="N9" s="7">
        <f t="shared" si="4"/>
        <v>30326</v>
      </c>
      <c r="O9" s="7">
        <f t="shared" si="4"/>
        <v>30536</v>
      </c>
      <c r="P9" s="7">
        <f t="shared" si="4"/>
        <v>29676</v>
      </c>
      <c r="Q9" s="7">
        <f t="shared" si="4"/>
        <v>29253</v>
      </c>
      <c r="R9" s="7">
        <f t="shared" si="4"/>
        <v>29039</v>
      </c>
      <c r="S9" s="7">
        <f t="shared" si="4"/>
        <v>28179</v>
      </c>
      <c r="T9" s="7">
        <f t="shared" si="4"/>
        <v>30839</v>
      </c>
      <c r="U9" s="7">
        <f t="shared" si="4"/>
        <v>31944</v>
      </c>
      <c r="V9" s="7">
        <f t="shared" si="4"/>
        <v>38346</v>
      </c>
      <c r="W9" s="7">
        <f t="shared" si="4"/>
        <v>39365</v>
      </c>
      <c r="X9" s="7">
        <f t="shared" si="4"/>
        <v>39808</v>
      </c>
      <c r="Y9" s="7">
        <f t="shared" si="4"/>
        <v>43903</v>
      </c>
      <c r="Z9" s="7">
        <f t="shared" si="4"/>
        <v>48203</v>
      </c>
      <c r="AA9" s="7">
        <f t="shared" si="4"/>
        <v>54741.36</v>
      </c>
      <c r="AB9" s="7">
        <f t="shared" si="4"/>
        <v>56391.409999999996</v>
      </c>
      <c r="AC9" s="7">
        <f t="shared" si="4"/>
        <v>56170.080000000002</v>
      </c>
      <c r="AD9" s="7">
        <f t="shared" si="4"/>
        <v>55392.55</v>
      </c>
      <c r="AE9" s="7">
        <f t="shared" ref="AE9:AF9" si="5">SUM(AE10:AE13)</f>
        <v>54224.625000000007</v>
      </c>
      <c r="AF9" s="7">
        <f t="shared" si="5"/>
        <v>54537.354000000007</v>
      </c>
      <c r="AG9" s="7">
        <f t="shared" si="4"/>
        <v>51817.351999999999</v>
      </c>
      <c r="AH9" s="7">
        <f t="shared" si="4"/>
        <v>49870.685999999994</v>
      </c>
      <c r="AI9" s="7">
        <f t="shared" ref="AI9:AK9" si="6">SUM(AI10:AI13)</f>
        <v>49131</v>
      </c>
      <c r="AJ9" s="7">
        <f t="shared" ref="AJ9" si="7">SUM(AJ10:AJ13)</f>
        <v>48094</v>
      </c>
      <c r="AK9" s="198">
        <f t="shared" si="6"/>
        <v>47872</v>
      </c>
      <c r="AL9" s="7"/>
    </row>
    <row r="10" spans="1:45">
      <c r="A10" s="6" t="s">
        <v>1</v>
      </c>
      <c r="B10" s="6"/>
      <c r="C10" s="6"/>
      <c r="D10" s="6"/>
      <c r="E10" s="6"/>
      <c r="F10" s="9">
        <v>11158</v>
      </c>
      <c r="G10" s="9">
        <f>10813+163</f>
        <v>10976</v>
      </c>
      <c r="H10" s="9">
        <f>10132+196</f>
        <v>10328</v>
      </c>
      <c r="I10" s="9">
        <f>11068+210</f>
        <v>11278</v>
      </c>
      <c r="J10" s="9">
        <f>11334+311</f>
        <v>11645</v>
      </c>
      <c r="K10" s="9">
        <v>12670</v>
      </c>
      <c r="L10" s="9">
        <v>12251</v>
      </c>
      <c r="M10" s="9">
        <v>11378</v>
      </c>
      <c r="N10" s="9">
        <v>10462</v>
      </c>
      <c r="O10" s="9">
        <v>12042</v>
      </c>
      <c r="P10" s="9">
        <v>11696</v>
      </c>
      <c r="Q10" s="9">
        <v>11596</v>
      </c>
      <c r="R10" s="9">
        <v>11838</v>
      </c>
      <c r="S10" s="9">
        <v>11801</v>
      </c>
      <c r="T10" s="9">
        <v>13892</v>
      </c>
      <c r="U10" s="9">
        <v>14221</v>
      </c>
      <c r="V10" s="9">
        <v>19282</v>
      </c>
      <c r="W10" s="14">
        <v>20462</v>
      </c>
      <c r="X10" s="14">
        <v>19329</v>
      </c>
      <c r="Y10" s="14">
        <v>21875</v>
      </c>
      <c r="Z10" s="14">
        <v>24782</v>
      </c>
      <c r="AA10" s="175">
        <v>26411.41</v>
      </c>
      <c r="AB10" s="175">
        <v>27619.68</v>
      </c>
      <c r="AC10" s="175">
        <v>27001.11</v>
      </c>
      <c r="AD10" s="175">
        <v>26372.21</v>
      </c>
      <c r="AE10" s="175">
        <v>25639.68</v>
      </c>
      <c r="AF10" s="175">
        <v>26798.847000000002</v>
      </c>
      <c r="AG10" s="175">
        <v>25111.306</v>
      </c>
      <c r="AH10" s="191">
        <v>24121.839</v>
      </c>
      <c r="AI10" s="191">
        <v>23990</v>
      </c>
      <c r="AJ10" s="191">
        <v>23647</v>
      </c>
      <c r="AK10" s="199">
        <v>23837</v>
      </c>
      <c r="AL10" s="7"/>
      <c r="AR10">
        <v>2155.84</v>
      </c>
    </row>
    <row r="11" spans="1:45">
      <c r="A11" s="6" t="s">
        <v>2</v>
      </c>
      <c r="B11" s="6"/>
      <c r="C11" s="6"/>
      <c r="D11" s="6"/>
      <c r="E11" s="6"/>
      <c r="F11" s="9">
        <v>11343</v>
      </c>
      <c r="G11" s="9">
        <f>10686+720</f>
        <v>11406</v>
      </c>
      <c r="H11" s="9">
        <f>12160+737</f>
        <v>12897</v>
      </c>
      <c r="I11" s="9">
        <f>12382+661</f>
        <v>13043</v>
      </c>
      <c r="J11" s="9">
        <f>11742+655</f>
        <v>12397</v>
      </c>
      <c r="K11" s="9">
        <v>13585</v>
      </c>
      <c r="L11" s="9">
        <v>14251</v>
      </c>
      <c r="M11" s="9">
        <v>13747</v>
      </c>
      <c r="N11" s="9">
        <v>15668</v>
      </c>
      <c r="O11" s="9">
        <v>14162</v>
      </c>
      <c r="P11" s="9">
        <v>13804</v>
      </c>
      <c r="Q11" s="9">
        <v>13138</v>
      </c>
      <c r="R11" s="9">
        <v>12728</v>
      </c>
      <c r="S11" s="9">
        <v>12105</v>
      </c>
      <c r="T11" s="9">
        <v>12546</v>
      </c>
      <c r="U11" s="9">
        <v>13069</v>
      </c>
      <c r="V11" s="9">
        <v>14468</v>
      </c>
      <c r="W11" s="15">
        <v>14496</v>
      </c>
      <c r="X11" s="15">
        <v>16179</v>
      </c>
      <c r="Y11" s="15">
        <v>17454</v>
      </c>
      <c r="Z11" s="15">
        <v>18685</v>
      </c>
      <c r="AA11" s="176">
        <v>22794.99</v>
      </c>
      <c r="AB11" s="176">
        <v>23002.17</v>
      </c>
      <c r="AC11" s="176">
        <v>23850.85</v>
      </c>
      <c r="AD11" s="176">
        <v>23681.82</v>
      </c>
      <c r="AE11" s="176">
        <v>23390.147000000001</v>
      </c>
      <c r="AF11" s="176">
        <v>22758.579000000002</v>
      </c>
      <c r="AG11" s="176">
        <v>21866.39</v>
      </c>
      <c r="AH11" s="191">
        <v>20849.986000000001</v>
      </c>
      <c r="AI11" s="191">
        <v>20753</v>
      </c>
      <c r="AJ11" s="191">
        <v>19883</v>
      </c>
      <c r="AK11" s="199">
        <v>19678</v>
      </c>
      <c r="AL11" s="7"/>
      <c r="AM11" s="189">
        <f>SUM(AG10:AG11)</f>
        <v>46977.695999999996</v>
      </c>
      <c r="AN11" t="s">
        <v>131</v>
      </c>
      <c r="AR11">
        <v>49029.827000000005</v>
      </c>
    </row>
    <row r="12" spans="1:45">
      <c r="A12" s="6" t="s">
        <v>11</v>
      </c>
      <c r="B12" s="6"/>
      <c r="C12" s="6"/>
      <c r="D12" s="6"/>
      <c r="E12" s="6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15"/>
      <c r="X12" s="15"/>
      <c r="Y12" s="15"/>
      <c r="Z12" s="15"/>
      <c r="AA12" s="176">
        <v>10.71</v>
      </c>
      <c r="AB12" s="176">
        <v>23.52</v>
      </c>
      <c r="AC12" s="176">
        <v>16.55</v>
      </c>
      <c r="AD12" s="176">
        <v>43.86</v>
      </c>
      <c r="AE12" s="176">
        <v>15.19</v>
      </c>
      <c r="AF12" s="176">
        <v>19.18</v>
      </c>
      <c r="AG12" s="176">
        <v>0</v>
      </c>
      <c r="AH12" s="191">
        <v>19.5</v>
      </c>
      <c r="AI12" s="191">
        <v>1</v>
      </c>
      <c r="AJ12" s="191">
        <v>8</v>
      </c>
      <c r="AK12" s="199">
        <v>0</v>
      </c>
      <c r="AL12" s="7"/>
      <c r="AR12" s="188">
        <v>43953.994999999995</v>
      </c>
    </row>
    <row r="13" spans="1:45">
      <c r="A13" s="6" t="s">
        <v>22</v>
      </c>
      <c r="B13" s="6"/>
      <c r="C13" s="6"/>
      <c r="D13" s="6"/>
      <c r="E13" s="6"/>
      <c r="F13" s="9">
        <v>4198</v>
      </c>
      <c r="G13" s="9">
        <v>4611</v>
      </c>
      <c r="H13" s="9">
        <v>4427</v>
      </c>
      <c r="I13" s="9">
        <v>4031</v>
      </c>
      <c r="J13" s="9">
        <v>4137</v>
      </c>
      <c r="K13" s="9">
        <v>4724</v>
      </c>
      <c r="L13" s="9">
        <v>4461</v>
      </c>
      <c r="M13" s="9">
        <v>4410</v>
      </c>
      <c r="N13" s="9">
        <v>4196</v>
      </c>
      <c r="O13" s="9">
        <v>4332</v>
      </c>
      <c r="P13" s="9">
        <v>4176</v>
      </c>
      <c r="Q13" s="9">
        <v>4519</v>
      </c>
      <c r="R13" s="9">
        <v>4473</v>
      </c>
      <c r="S13" s="9">
        <v>4273</v>
      </c>
      <c r="T13" s="9">
        <v>4401</v>
      </c>
      <c r="U13" s="9">
        <v>4654</v>
      </c>
      <c r="V13" s="9">
        <v>4596</v>
      </c>
      <c r="W13" s="15">
        <v>4407</v>
      </c>
      <c r="X13" s="15">
        <v>4300</v>
      </c>
      <c r="Y13" s="15">
        <v>4574</v>
      </c>
      <c r="Z13" s="15">
        <v>4736</v>
      </c>
      <c r="AA13" s="176">
        <v>5524.25</v>
      </c>
      <c r="AB13" s="176">
        <v>5746.04</v>
      </c>
      <c r="AC13" s="176">
        <v>5301.57</v>
      </c>
      <c r="AD13" s="176">
        <v>5294.66</v>
      </c>
      <c r="AE13" s="176">
        <v>5179.6080000000002</v>
      </c>
      <c r="AF13" s="176">
        <v>4960.7479999999996</v>
      </c>
      <c r="AG13" s="176">
        <v>4839.6559999999999</v>
      </c>
      <c r="AH13" s="191">
        <v>4879.3609999999999</v>
      </c>
      <c r="AI13" s="191">
        <v>4387</v>
      </c>
      <c r="AJ13" s="191">
        <v>4556</v>
      </c>
      <c r="AK13" s="199">
        <v>4357</v>
      </c>
      <c r="AL13" s="7"/>
      <c r="AR13">
        <f>SUM(AR10:AR12)</f>
        <v>95139.661999999997</v>
      </c>
      <c r="AS13" t="s">
        <v>133</v>
      </c>
    </row>
    <row r="14" spans="1:45">
      <c r="A14" s="6"/>
      <c r="B14" s="6"/>
      <c r="C14" s="6"/>
      <c r="D14" s="6"/>
      <c r="E14" s="6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</row>
    <row r="15" spans="1:45">
      <c r="A15" s="7" t="s">
        <v>19</v>
      </c>
      <c r="B15" s="7"/>
      <c r="C15" s="7"/>
      <c r="D15" s="7"/>
      <c r="E15" s="7"/>
      <c r="F15" s="7">
        <f t="shared" ref="F15:AH15" si="8">SUM(F16:F19)</f>
        <v>24682</v>
      </c>
      <c r="G15" s="7">
        <f t="shared" si="8"/>
        <v>25817</v>
      </c>
      <c r="H15" s="7">
        <f t="shared" si="8"/>
        <v>25996</v>
      </c>
      <c r="I15" s="7">
        <f t="shared" si="8"/>
        <v>26337</v>
      </c>
      <c r="J15" s="7">
        <f t="shared" si="8"/>
        <v>24959</v>
      </c>
      <c r="K15" s="7">
        <f t="shared" si="8"/>
        <v>26030</v>
      </c>
      <c r="L15" s="7">
        <f t="shared" si="8"/>
        <v>27254</v>
      </c>
      <c r="M15" s="7">
        <f t="shared" si="8"/>
        <v>26307</v>
      </c>
      <c r="N15" s="7">
        <f t="shared" si="8"/>
        <v>27383</v>
      </c>
      <c r="O15" s="7">
        <f t="shared" si="8"/>
        <v>27113</v>
      </c>
      <c r="P15" s="7">
        <f t="shared" si="8"/>
        <v>24589</v>
      </c>
      <c r="Q15" s="7">
        <f t="shared" si="8"/>
        <v>28024</v>
      </c>
      <c r="R15" s="7">
        <f t="shared" si="8"/>
        <v>24750</v>
      </c>
      <c r="S15" s="7">
        <f t="shared" si="8"/>
        <v>25080</v>
      </c>
      <c r="T15" s="7">
        <f t="shared" si="8"/>
        <v>27305</v>
      </c>
      <c r="U15" s="7">
        <f t="shared" si="8"/>
        <v>30165</v>
      </c>
      <c r="V15" s="7">
        <f t="shared" si="8"/>
        <v>31623</v>
      </c>
      <c r="W15" s="7">
        <f t="shared" si="8"/>
        <v>32852</v>
      </c>
      <c r="X15" s="7">
        <f t="shared" si="8"/>
        <v>36160</v>
      </c>
      <c r="Y15" s="7">
        <f t="shared" si="8"/>
        <v>41483</v>
      </c>
      <c r="Z15" s="7">
        <f t="shared" si="8"/>
        <v>41142</v>
      </c>
      <c r="AA15" s="7">
        <f t="shared" si="8"/>
        <v>50604.700000000004</v>
      </c>
      <c r="AB15" s="7">
        <f t="shared" si="8"/>
        <v>51417.479999999996</v>
      </c>
      <c r="AC15" s="7">
        <f t="shared" si="8"/>
        <v>50938.55</v>
      </c>
      <c r="AD15" s="7">
        <f t="shared" si="8"/>
        <v>50106.75</v>
      </c>
      <c r="AE15" s="7">
        <f t="shared" ref="AE15:AF15" si="9">SUM(AE16:AE19)</f>
        <v>49348.928999999996</v>
      </c>
      <c r="AF15" s="7">
        <f t="shared" si="9"/>
        <v>48349.133000000002</v>
      </c>
      <c r="AG15" s="7">
        <f t="shared" si="8"/>
        <v>46063.864000000001</v>
      </c>
      <c r="AH15" s="7">
        <f t="shared" si="8"/>
        <v>46175.582000000002</v>
      </c>
      <c r="AI15" s="7">
        <f t="shared" ref="AI15:AK15" si="10">SUM(AI16:AI19)</f>
        <v>45306.95</v>
      </c>
      <c r="AJ15" s="7">
        <f t="shared" ref="AJ15" si="11">SUM(AJ16:AJ19)</f>
        <v>44893</v>
      </c>
      <c r="AK15" s="198">
        <f t="shared" si="10"/>
        <v>44591</v>
      </c>
      <c r="AL15" s="7"/>
    </row>
    <row r="16" spans="1:45">
      <c r="A16" s="6" t="s">
        <v>1</v>
      </c>
      <c r="B16" s="6"/>
      <c r="C16" s="6"/>
      <c r="D16" s="6"/>
      <c r="E16" s="6"/>
      <c r="F16" s="9">
        <v>8510</v>
      </c>
      <c r="G16" s="9">
        <f>8349+87</f>
        <v>8436</v>
      </c>
      <c r="H16" s="9">
        <f>8502+35</f>
        <v>8537</v>
      </c>
      <c r="I16" s="9">
        <f>8637+61</f>
        <v>8698</v>
      </c>
      <c r="J16" s="9">
        <v>7832</v>
      </c>
      <c r="K16" s="9">
        <v>8248</v>
      </c>
      <c r="L16" s="9">
        <v>8518</v>
      </c>
      <c r="M16" s="9">
        <v>8143</v>
      </c>
      <c r="N16" s="9">
        <v>8011</v>
      </c>
      <c r="O16" s="9">
        <v>8580</v>
      </c>
      <c r="P16" s="9">
        <v>8145</v>
      </c>
      <c r="Q16" s="9">
        <v>10349</v>
      </c>
      <c r="R16" s="9">
        <v>9171</v>
      </c>
      <c r="S16" s="9">
        <v>9491</v>
      </c>
      <c r="T16" s="9">
        <v>11117</v>
      </c>
      <c r="U16" s="9">
        <v>12600</v>
      </c>
      <c r="V16" s="9">
        <v>12737</v>
      </c>
      <c r="W16" s="14">
        <v>13198</v>
      </c>
      <c r="X16" s="14">
        <v>14881</v>
      </c>
      <c r="Y16" s="14">
        <v>18305</v>
      </c>
      <c r="Z16" s="14">
        <v>16077</v>
      </c>
      <c r="AA16" s="175">
        <v>21861.85</v>
      </c>
      <c r="AB16" s="175">
        <v>22500.1</v>
      </c>
      <c r="AC16" s="175">
        <v>20964.169999999998</v>
      </c>
      <c r="AD16" s="175">
        <v>20586.77</v>
      </c>
      <c r="AE16" s="175">
        <v>19804.815999999999</v>
      </c>
      <c r="AF16" s="175">
        <v>21066.853999999999</v>
      </c>
      <c r="AG16" s="175">
        <v>19520.181</v>
      </c>
      <c r="AH16" s="191">
        <v>20512.186000000002</v>
      </c>
      <c r="AI16" s="191">
        <v>20429.09</v>
      </c>
      <c r="AJ16" s="191">
        <v>20922</v>
      </c>
      <c r="AK16" s="199">
        <v>20440</v>
      </c>
      <c r="AL16" s="191"/>
    </row>
    <row r="17" spans="1:40">
      <c r="A17" s="6" t="s">
        <v>2</v>
      </c>
      <c r="B17" s="6"/>
      <c r="C17" s="6"/>
      <c r="D17" s="6"/>
      <c r="E17" s="6"/>
      <c r="F17" s="9">
        <v>11716</v>
      </c>
      <c r="G17" s="9">
        <f>11597+582</f>
        <v>12179</v>
      </c>
      <c r="H17" s="9">
        <f>12400+462</f>
        <v>12862</v>
      </c>
      <c r="I17" s="9">
        <f>12611+446</f>
        <v>13057</v>
      </c>
      <c r="J17" s="9">
        <v>12355</v>
      </c>
      <c r="K17" s="9">
        <v>12862</v>
      </c>
      <c r="L17" s="9">
        <v>13911</v>
      </c>
      <c r="M17" s="9">
        <v>13874</v>
      </c>
      <c r="N17" s="9">
        <v>14635</v>
      </c>
      <c r="O17" s="9">
        <v>13977</v>
      </c>
      <c r="P17" s="9">
        <v>11913</v>
      </c>
      <c r="Q17" s="9">
        <v>12862</v>
      </c>
      <c r="R17" s="9">
        <v>10851</v>
      </c>
      <c r="S17" s="9">
        <v>11203</v>
      </c>
      <c r="T17" s="9">
        <v>11683</v>
      </c>
      <c r="U17" s="9">
        <v>12969</v>
      </c>
      <c r="V17" s="9">
        <v>14180</v>
      </c>
      <c r="W17" s="15">
        <v>14777</v>
      </c>
      <c r="X17" s="15">
        <v>16702</v>
      </c>
      <c r="Y17" s="15">
        <v>18519</v>
      </c>
      <c r="Z17" s="15">
        <v>20032</v>
      </c>
      <c r="AA17" s="176">
        <v>23014.06</v>
      </c>
      <c r="AB17" s="176">
        <v>23265.3</v>
      </c>
      <c r="AC17" s="176">
        <v>24537.65</v>
      </c>
      <c r="AD17" s="176">
        <v>24089.21</v>
      </c>
      <c r="AE17" s="176">
        <v>24149.179</v>
      </c>
      <c r="AF17" s="176">
        <v>22117.955999999998</v>
      </c>
      <c r="AG17" s="176">
        <v>21953.396000000001</v>
      </c>
      <c r="AH17" s="191">
        <v>20926.895</v>
      </c>
      <c r="AI17" s="191">
        <v>20560.689999999999</v>
      </c>
      <c r="AJ17" s="191">
        <v>19515</v>
      </c>
      <c r="AK17" s="199">
        <v>19757</v>
      </c>
      <c r="AL17" s="191"/>
      <c r="AM17" s="189">
        <f>SUM(AG16:AG17)</f>
        <v>41473.577000000005</v>
      </c>
      <c r="AN17" t="s">
        <v>132</v>
      </c>
    </row>
    <row r="18" spans="1:40">
      <c r="A18" s="6" t="s">
        <v>11</v>
      </c>
      <c r="B18" s="6"/>
      <c r="C18" s="6"/>
      <c r="D18" s="6"/>
      <c r="E18" s="6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15"/>
      <c r="X18" s="15"/>
      <c r="Y18" s="15"/>
      <c r="Z18" s="15"/>
      <c r="AA18" s="176">
        <v>23.73</v>
      </c>
      <c r="AB18" s="176">
        <v>29.91</v>
      </c>
      <c r="AC18" s="176">
        <v>31.55</v>
      </c>
      <c r="AD18" s="176">
        <v>33.049999999999997</v>
      </c>
      <c r="AE18" s="176">
        <v>31.85</v>
      </c>
      <c r="AF18" s="176">
        <v>39.75</v>
      </c>
      <c r="AG18" s="176">
        <v>18.45</v>
      </c>
      <c r="AH18" s="191">
        <v>23.2</v>
      </c>
      <c r="AI18" s="191">
        <v>33.700000000000003</v>
      </c>
      <c r="AJ18" s="191">
        <v>38</v>
      </c>
      <c r="AK18" s="199">
        <v>0</v>
      </c>
      <c r="AL18" s="191"/>
    </row>
    <row r="19" spans="1:40">
      <c r="A19" s="6" t="s">
        <v>22</v>
      </c>
      <c r="B19" s="6"/>
      <c r="C19" s="6"/>
      <c r="D19" s="6"/>
      <c r="E19" s="6"/>
      <c r="F19" s="9">
        <v>4456</v>
      </c>
      <c r="G19" s="9">
        <v>5202</v>
      </c>
      <c r="H19" s="9">
        <v>4597</v>
      </c>
      <c r="I19" s="9">
        <v>4582</v>
      </c>
      <c r="J19" s="9">
        <v>4772</v>
      </c>
      <c r="K19" s="9">
        <v>4920</v>
      </c>
      <c r="L19" s="9">
        <v>4825</v>
      </c>
      <c r="M19" s="9">
        <v>4290</v>
      </c>
      <c r="N19" s="9">
        <v>4737</v>
      </c>
      <c r="O19" s="9">
        <v>4556</v>
      </c>
      <c r="P19" s="9">
        <v>4531</v>
      </c>
      <c r="Q19" s="9">
        <v>4813</v>
      </c>
      <c r="R19" s="9">
        <v>4728</v>
      </c>
      <c r="S19" s="9">
        <v>4386</v>
      </c>
      <c r="T19" s="9">
        <v>4505</v>
      </c>
      <c r="U19" s="9">
        <v>4596</v>
      </c>
      <c r="V19" s="9">
        <v>4706</v>
      </c>
      <c r="W19" s="15">
        <v>4877</v>
      </c>
      <c r="X19" s="15">
        <v>4577</v>
      </c>
      <c r="Y19" s="15">
        <v>4659</v>
      </c>
      <c r="Z19" s="15">
        <v>5033</v>
      </c>
      <c r="AA19" s="176">
        <v>5705.06</v>
      </c>
      <c r="AB19" s="176">
        <v>5622.17</v>
      </c>
      <c r="AC19" s="176">
        <v>5405.18</v>
      </c>
      <c r="AD19" s="176">
        <v>5397.72</v>
      </c>
      <c r="AE19" s="176">
        <v>5363.0839999999998</v>
      </c>
      <c r="AF19" s="176">
        <v>5124.5730000000003</v>
      </c>
      <c r="AG19" s="176">
        <v>4571.8370000000004</v>
      </c>
      <c r="AH19" s="191">
        <v>4713.3010000000004</v>
      </c>
      <c r="AI19" s="191">
        <f>1884.68+2398.79</f>
        <v>4283.47</v>
      </c>
      <c r="AJ19" s="191">
        <v>4418</v>
      </c>
      <c r="AK19" s="199">
        <v>4394</v>
      </c>
      <c r="AL19" s="191"/>
    </row>
    <row r="20" spans="1:40">
      <c r="A20" s="6"/>
      <c r="B20" s="6"/>
      <c r="C20" s="6"/>
      <c r="D20" s="6"/>
      <c r="E20" s="6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1:40">
      <c r="A21" s="7" t="s">
        <v>20</v>
      </c>
      <c r="B21" s="7"/>
      <c r="C21" s="7"/>
      <c r="D21" s="7"/>
      <c r="E21" s="7"/>
      <c r="F21" s="7">
        <f t="shared" ref="F21:AG21" si="12">SUM(F22:F25)</f>
        <v>54927</v>
      </c>
      <c r="G21" s="7">
        <f t="shared" si="12"/>
        <v>56097</v>
      </c>
      <c r="H21" s="7">
        <f t="shared" si="12"/>
        <v>56980</v>
      </c>
      <c r="I21" s="7">
        <f t="shared" si="12"/>
        <v>57616</v>
      </c>
      <c r="J21" s="7">
        <f t="shared" si="12"/>
        <v>56027</v>
      </c>
      <c r="K21" s="7">
        <f t="shared" si="12"/>
        <v>60228</v>
      </c>
      <c r="L21" s="7">
        <f t="shared" si="12"/>
        <v>61341</v>
      </c>
      <c r="M21" s="7">
        <f t="shared" si="12"/>
        <v>59086</v>
      </c>
      <c r="N21" s="7">
        <f t="shared" si="12"/>
        <v>60855</v>
      </c>
      <c r="O21" s="7">
        <f t="shared" si="12"/>
        <v>61014</v>
      </c>
      <c r="P21" s="7">
        <f t="shared" si="12"/>
        <v>57531</v>
      </c>
      <c r="Q21" s="7">
        <f t="shared" si="12"/>
        <v>60508</v>
      </c>
      <c r="R21" s="7">
        <f t="shared" si="12"/>
        <v>56800</v>
      </c>
      <c r="S21" s="7">
        <f t="shared" si="12"/>
        <v>56740</v>
      </c>
      <c r="T21" s="7">
        <f t="shared" si="12"/>
        <v>61495</v>
      </c>
      <c r="U21" s="7">
        <f t="shared" si="12"/>
        <v>65558</v>
      </c>
      <c r="V21" s="7">
        <f t="shared" si="12"/>
        <v>73720</v>
      </c>
      <c r="W21" s="7">
        <f t="shared" si="12"/>
        <v>75994</v>
      </c>
      <c r="X21" s="7">
        <f t="shared" si="12"/>
        <v>78705</v>
      </c>
      <c r="Y21" s="7">
        <f t="shared" si="12"/>
        <v>88290</v>
      </c>
      <c r="Z21" s="7">
        <f t="shared" si="12"/>
        <v>92913</v>
      </c>
      <c r="AA21" s="7">
        <f t="shared" si="12"/>
        <v>109234.82999999999</v>
      </c>
      <c r="AB21" s="7">
        <f t="shared" si="12"/>
        <v>111694.59</v>
      </c>
      <c r="AC21" s="7">
        <f t="shared" si="12"/>
        <v>110961.51000000001</v>
      </c>
      <c r="AD21" s="7">
        <f t="shared" si="12"/>
        <v>108905.31999999999</v>
      </c>
      <c r="AE21" s="7">
        <f t="shared" ref="AE21:AF21" si="13">SUM(AE22:AE25)</f>
        <v>106615.01699999999</v>
      </c>
      <c r="AF21" s="7">
        <f t="shared" si="13"/>
        <v>105670.09699999998</v>
      </c>
      <c r="AG21" s="7">
        <f t="shared" si="12"/>
        <v>101161.41399999999</v>
      </c>
      <c r="AH21" s="7">
        <f t="shared" ref="AH21:AK21" si="14">SUM(AH22:AH25)</f>
        <v>99058.77900000001</v>
      </c>
      <c r="AI21" s="7">
        <f t="shared" ref="AI21:AJ21" si="15">SUM(AI22:AI25)</f>
        <v>96549.95</v>
      </c>
      <c r="AJ21" s="7">
        <f t="shared" si="15"/>
        <v>95237</v>
      </c>
      <c r="AK21" s="7">
        <f t="shared" si="14"/>
        <v>94301</v>
      </c>
      <c r="AL21" s="7"/>
    </row>
    <row r="22" spans="1:40">
      <c r="A22" s="8" t="s">
        <v>1</v>
      </c>
      <c r="B22" s="8"/>
      <c r="C22" s="69"/>
      <c r="D22" s="8"/>
      <c r="E22" s="8"/>
      <c r="F22" s="7">
        <f t="shared" ref="F22:AG22" si="16">F4+F10+F16</f>
        <v>19851</v>
      </c>
      <c r="G22" s="7">
        <f t="shared" si="16"/>
        <v>19512</v>
      </c>
      <c r="H22" s="7">
        <f t="shared" si="16"/>
        <v>18950</v>
      </c>
      <c r="I22" s="7">
        <f t="shared" si="16"/>
        <v>20071</v>
      </c>
      <c r="J22" s="7">
        <f t="shared" si="16"/>
        <v>19546</v>
      </c>
      <c r="K22" s="7">
        <f t="shared" si="16"/>
        <v>21234</v>
      </c>
      <c r="L22" s="7">
        <f t="shared" si="16"/>
        <v>20942</v>
      </c>
      <c r="M22" s="7">
        <f t="shared" si="16"/>
        <v>19705</v>
      </c>
      <c r="N22" s="7">
        <f t="shared" si="16"/>
        <v>18613</v>
      </c>
      <c r="O22" s="7">
        <f t="shared" si="16"/>
        <v>20850</v>
      </c>
      <c r="P22" s="7">
        <f t="shared" si="16"/>
        <v>20199</v>
      </c>
      <c r="Q22" s="7">
        <f t="shared" si="16"/>
        <v>22095</v>
      </c>
      <c r="R22" s="7">
        <f t="shared" si="16"/>
        <v>21029</v>
      </c>
      <c r="S22" s="7">
        <f t="shared" si="16"/>
        <v>21557</v>
      </c>
      <c r="T22" s="7">
        <f t="shared" si="16"/>
        <v>25291</v>
      </c>
      <c r="U22" s="7">
        <f t="shared" si="16"/>
        <v>27173</v>
      </c>
      <c r="V22" s="7">
        <f t="shared" si="16"/>
        <v>32312</v>
      </c>
      <c r="W22" s="7">
        <f t="shared" si="16"/>
        <v>33971</v>
      </c>
      <c r="X22" s="7">
        <f t="shared" si="16"/>
        <v>34612</v>
      </c>
      <c r="Y22" s="7">
        <f t="shared" si="16"/>
        <v>40548</v>
      </c>
      <c r="Z22" s="7">
        <f t="shared" si="16"/>
        <v>41482</v>
      </c>
      <c r="AA22" s="7">
        <f t="shared" si="16"/>
        <v>48929.259999999995</v>
      </c>
      <c r="AB22" s="7">
        <f t="shared" si="16"/>
        <v>50710.78</v>
      </c>
      <c r="AC22" s="7">
        <f t="shared" si="16"/>
        <v>48501.279999999999</v>
      </c>
      <c r="AD22" s="7">
        <f t="shared" si="16"/>
        <v>47525.979999999996</v>
      </c>
      <c r="AE22" s="7">
        <f t="shared" ref="AE22:AF22" si="17">AE4+AE10+AE16</f>
        <v>45989.495999999999</v>
      </c>
      <c r="AF22" s="7">
        <f t="shared" si="17"/>
        <v>48160.701000000001</v>
      </c>
      <c r="AG22" s="7">
        <f t="shared" si="16"/>
        <v>45536.786999999997</v>
      </c>
      <c r="AH22" s="7">
        <f t="shared" ref="AH22:AK22" si="18">AH4+AH10+AH16</f>
        <v>45317.425000000003</v>
      </c>
      <c r="AI22" s="7">
        <f t="shared" ref="AI22:AJ22" si="19">AI4+AI10+AI16</f>
        <v>44674.09</v>
      </c>
      <c r="AJ22" s="7">
        <f t="shared" si="19"/>
        <v>44830</v>
      </c>
      <c r="AK22" s="7">
        <f t="shared" si="18"/>
        <v>44632</v>
      </c>
      <c r="AL22" s="7"/>
    </row>
    <row r="23" spans="1:40">
      <c r="A23" s="8" t="s">
        <v>2</v>
      </c>
      <c r="B23" s="8"/>
      <c r="C23" s="69"/>
      <c r="D23" s="8"/>
      <c r="E23" s="8"/>
      <c r="F23" s="7">
        <f t="shared" ref="F23:AG23" si="20">F5+F11+F17</f>
        <v>24167</v>
      </c>
      <c r="G23" s="7">
        <f t="shared" si="20"/>
        <v>24572</v>
      </c>
      <c r="H23" s="7">
        <f t="shared" si="20"/>
        <v>26510</v>
      </c>
      <c r="I23" s="7">
        <f t="shared" si="20"/>
        <v>26783</v>
      </c>
      <c r="J23" s="7">
        <f t="shared" si="20"/>
        <v>25362</v>
      </c>
      <c r="K23" s="7">
        <f t="shared" si="20"/>
        <v>26984</v>
      </c>
      <c r="L23" s="7">
        <f t="shared" si="20"/>
        <v>28799</v>
      </c>
      <c r="M23" s="7">
        <f t="shared" si="20"/>
        <v>28302</v>
      </c>
      <c r="N23" s="7">
        <f t="shared" si="20"/>
        <v>30893</v>
      </c>
      <c r="O23" s="7">
        <f t="shared" si="20"/>
        <v>28885</v>
      </c>
      <c r="P23" s="7">
        <f t="shared" si="20"/>
        <v>26322</v>
      </c>
      <c r="Q23" s="7">
        <f t="shared" si="20"/>
        <v>26685</v>
      </c>
      <c r="R23" s="7">
        <f t="shared" si="20"/>
        <v>24309</v>
      </c>
      <c r="S23" s="7">
        <f t="shared" si="20"/>
        <v>23994</v>
      </c>
      <c r="T23" s="7">
        <f t="shared" si="20"/>
        <v>25067</v>
      </c>
      <c r="U23" s="7">
        <f t="shared" si="20"/>
        <v>26953</v>
      </c>
      <c r="V23" s="7">
        <f t="shared" si="20"/>
        <v>29831</v>
      </c>
      <c r="W23" s="7">
        <f t="shared" si="20"/>
        <v>30751</v>
      </c>
      <c r="X23" s="7">
        <f t="shared" si="20"/>
        <v>34557</v>
      </c>
      <c r="Y23" s="7">
        <f t="shared" si="20"/>
        <v>37520</v>
      </c>
      <c r="Z23" s="7">
        <f t="shared" si="20"/>
        <v>40526</v>
      </c>
      <c r="AA23" s="7">
        <f t="shared" si="20"/>
        <v>47628.700000000004</v>
      </c>
      <c r="AB23" s="7">
        <f t="shared" si="20"/>
        <v>48234.17</v>
      </c>
      <c r="AC23" s="7">
        <f t="shared" si="20"/>
        <v>50249.84</v>
      </c>
      <c r="AD23" s="7">
        <f t="shared" si="20"/>
        <v>49565.85</v>
      </c>
      <c r="AE23" s="7">
        <f t="shared" ref="AE23:AF23" si="21">AE5+AE11+AE17</f>
        <v>49150.165999999997</v>
      </c>
      <c r="AF23" s="7">
        <f t="shared" si="21"/>
        <v>46456.373</v>
      </c>
      <c r="AG23" s="7">
        <f t="shared" si="20"/>
        <v>45370.186000000002</v>
      </c>
      <c r="AH23" s="7">
        <f t="shared" ref="AH23:AK23" si="22">AH5+AH11+AH17</f>
        <v>43517.831000000006</v>
      </c>
      <c r="AI23" s="7">
        <f t="shared" ref="AI23:AJ23" si="23">AI5+AI11+AI17</f>
        <v>42474.69</v>
      </c>
      <c r="AJ23" s="7">
        <f t="shared" si="23"/>
        <v>40767</v>
      </c>
      <c r="AK23" s="7">
        <f t="shared" si="22"/>
        <v>40308</v>
      </c>
      <c r="AL23" s="7"/>
      <c r="AM23" s="189">
        <f>SUM(AG22:AG23)</f>
        <v>90906.972999999998</v>
      </c>
      <c r="AN23" t="s">
        <v>133</v>
      </c>
    </row>
    <row r="24" spans="1:40">
      <c r="A24" s="6" t="s">
        <v>11</v>
      </c>
      <c r="B24" s="6"/>
      <c r="C24" s="69"/>
      <c r="D24" s="8"/>
      <c r="E24" s="8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>
        <f t="shared" ref="AA24:AG25" si="24">AA6+AA12+AA18</f>
        <v>34.44</v>
      </c>
      <c r="AB24" s="7">
        <f t="shared" si="24"/>
        <v>53.43</v>
      </c>
      <c r="AC24" s="7">
        <f t="shared" si="24"/>
        <v>48.1</v>
      </c>
      <c r="AD24" s="7">
        <f t="shared" si="24"/>
        <v>76.91</v>
      </c>
      <c r="AE24" s="7">
        <f t="shared" ref="AE24:AF24" si="25">AE6+AE12+AE18</f>
        <v>47.04</v>
      </c>
      <c r="AF24" s="7">
        <f t="shared" si="25"/>
        <v>58.93</v>
      </c>
      <c r="AG24" s="7">
        <f t="shared" si="24"/>
        <v>18.45</v>
      </c>
      <c r="AH24" s="7">
        <f t="shared" ref="AH24:AK24" si="26">AH6+AH12+AH18</f>
        <v>42.7</v>
      </c>
      <c r="AI24" s="7">
        <f t="shared" ref="AI24:AJ24" si="27">AI6+AI12+AI18</f>
        <v>34.700000000000003</v>
      </c>
      <c r="AJ24" s="7">
        <f t="shared" si="27"/>
        <v>46</v>
      </c>
      <c r="AK24" s="7">
        <f t="shared" si="26"/>
        <v>0</v>
      </c>
      <c r="AL24" s="7"/>
    </row>
    <row r="25" spans="1:40">
      <c r="A25" s="8" t="s">
        <v>22</v>
      </c>
      <c r="B25" s="8"/>
      <c r="C25" s="69"/>
      <c r="D25" s="8"/>
      <c r="E25" s="8"/>
      <c r="F25" s="7">
        <f t="shared" ref="F25:Z25" si="28">F7+F13+F19</f>
        <v>10909</v>
      </c>
      <c r="G25" s="7">
        <f t="shared" si="28"/>
        <v>12013</v>
      </c>
      <c r="H25" s="7">
        <f t="shared" si="28"/>
        <v>11520</v>
      </c>
      <c r="I25" s="7">
        <f t="shared" si="28"/>
        <v>10762</v>
      </c>
      <c r="J25" s="7">
        <f t="shared" si="28"/>
        <v>11119</v>
      </c>
      <c r="K25" s="7">
        <f t="shared" si="28"/>
        <v>12010</v>
      </c>
      <c r="L25" s="7">
        <f t="shared" si="28"/>
        <v>11600</v>
      </c>
      <c r="M25" s="7">
        <f t="shared" si="28"/>
        <v>11079</v>
      </c>
      <c r="N25" s="7">
        <f t="shared" si="28"/>
        <v>11349</v>
      </c>
      <c r="O25" s="7">
        <f t="shared" si="28"/>
        <v>11279</v>
      </c>
      <c r="P25" s="7">
        <f t="shared" si="28"/>
        <v>11010</v>
      </c>
      <c r="Q25" s="7">
        <f t="shared" si="28"/>
        <v>11728</v>
      </c>
      <c r="R25" s="7">
        <f t="shared" si="28"/>
        <v>11462</v>
      </c>
      <c r="S25" s="7">
        <f t="shared" si="28"/>
        <v>11189</v>
      </c>
      <c r="T25" s="7">
        <f t="shared" si="28"/>
        <v>11137</v>
      </c>
      <c r="U25" s="7">
        <f t="shared" si="28"/>
        <v>11432</v>
      </c>
      <c r="V25" s="7">
        <f t="shared" si="28"/>
        <v>11577</v>
      </c>
      <c r="W25" s="7">
        <f t="shared" si="28"/>
        <v>11272</v>
      </c>
      <c r="X25" s="7">
        <f t="shared" si="28"/>
        <v>9536</v>
      </c>
      <c r="Y25" s="7">
        <f t="shared" si="28"/>
        <v>10222</v>
      </c>
      <c r="Z25" s="7">
        <f t="shared" si="28"/>
        <v>10905</v>
      </c>
      <c r="AA25" s="7">
        <f t="shared" si="24"/>
        <v>12642.43</v>
      </c>
      <c r="AB25" s="7">
        <f t="shared" si="24"/>
        <v>12696.21</v>
      </c>
      <c r="AC25" s="7">
        <f t="shared" si="24"/>
        <v>12162.29</v>
      </c>
      <c r="AD25" s="7">
        <f t="shared" si="24"/>
        <v>11736.58</v>
      </c>
      <c r="AE25" s="7">
        <f t="shared" ref="AE25:AF25" si="29">AE7+AE13+AE19</f>
        <v>11428.314999999999</v>
      </c>
      <c r="AF25" s="7">
        <f t="shared" si="29"/>
        <v>10994.093000000001</v>
      </c>
      <c r="AG25" s="7">
        <f t="shared" si="24"/>
        <v>10235.991000000002</v>
      </c>
      <c r="AH25" s="7">
        <f t="shared" ref="AH25:AK25" si="30">AH7+AH13+AH19</f>
        <v>10180.823</v>
      </c>
      <c r="AI25" s="7">
        <f t="shared" ref="AI25:AJ25" si="31">AI7+AI13+AI19</f>
        <v>9366.4700000000012</v>
      </c>
      <c r="AJ25" s="7">
        <f t="shared" si="31"/>
        <v>9594</v>
      </c>
      <c r="AK25" s="7">
        <f t="shared" si="30"/>
        <v>9361</v>
      </c>
      <c r="AL25" s="7"/>
    </row>
    <row r="26" spans="1:40">
      <c r="A26" s="6"/>
      <c r="B26" s="6"/>
      <c r="C26" s="6"/>
      <c r="D26" s="6"/>
      <c r="E26" s="6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40" ht="13.5" thickBot="1">
      <c r="A27" s="25" t="s">
        <v>12</v>
      </c>
      <c r="B27" s="25"/>
      <c r="C27" s="25"/>
      <c r="D27" s="26"/>
      <c r="E27" s="26"/>
      <c r="F27" s="26" t="s">
        <v>13</v>
      </c>
      <c r="G27" s="26" t="s">
        <v>14</v>
      </c>
      <c r="H27" s="26" t="s">
        <v>15</v>
      </c>
      <c r="I27" s="26" t="s">
        <v>16</v>
      </c>
      <c r="J27" s="26" t="s">
        <v>21</v>
      </c>
      <c r="K27" s="26" t="s">
        <v>23</v>
      </c>
      <c r="L27" s="26" t="s">
        <v>24</v>
      </c>
      <c r="M27" s="26" t="s">
        <v>38</v>
      </c>
      <c r="N27" s="26" t="s">
        <v>44</v>
      </c>
      <c r="O27" s="26" t="s">
        <v>45</v>
      </c>
      <c r="P27" s="26" t="s">
        <v>46</v>
      </c>
      <c r="Q27" s="26" t="s">
        <v>50</v>
      </c>
      <c r="R27" s="27" t="s">
        <v>53</v>
      </c>
      <c r="S27" s="27" t="s">
        <v>55</v>
      </c>
      <c r="T27" s="27" t="s">
        <v>58</v>
      </c>
      <c r="U27" s="27" t="s">
        <v>61</v>
      </c>
      <c r="V27" s="27" t="s">
        <v>63</v>
      </c>
      <c r="W27" s="27" t="s">
        <v>65</v>
      </c>
      <c r="X27" s="27" t="s">
        <v>67</v>
      </c>
      <c r="Y27" s="27" t="s">
        <v>69</v>
      </c>
      <c r="Z27" s="27" t="s">
        <v>71</v>
      </c>
      <c r="AA27" s="27" t="s">
        <v>76</v>
      </c>
      <c r="AB27" s="27" t="s">
        <v>79</v>
      </c>
      <c r="AC27" s="27" t="s">
        <v>107</v>
      </c>
      <c r="AD27" s="27" t="s">
        <v>111</v>
      </c>
      <c r="AE27" s="27" t="s">
        <v>114</v>
      </c>
      <c r="AF27" s="27" t="s">
        <v>136</v>
      </c>
      <c r="AG27" s="27" t="s">
        <v>137</v>
      </c>
      <c r="AH27" s="190" t="s">
        <v>145</v>
      </c>
      <c r="AI27" s="190" t="s">
        <v>148</v>
      </c>
      <c r="AJ27" s="190" t="s">
        <v>150</v>
      </c>
      <c r="AK27" s="190" t="s">
        <v>151</v>
      </c>
      <c r="AL27" s="190"/>
    </row>
    <row r="28" spans="1:40">
      <c r="A28" s="16" t="s">
        <v>4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</row>
    <row r="29" spans="1:40">
      <c r="A29" s="7" t="s">
        <v>17</v>
      </c>
      <c r="B29" s="7"/>
      <c r="C29" s="7"/>
      <c r="D29" s="7"/>
      <c r="E29" s="7"/>
      <c r="F29" s="7">
        <f t="shared" ref="F29:AH29" si="32">F30+F31+F32</f>
        <v>3515</v>
      </c>
      <c r="G29" s="7">
        <f t="shared" si="32"/>
        <v>3232</v>
      </c>
      <c r="H29" s="7">
        <f t="shared" si="32"/>
        <v>3366</v>
      </c>
      <c r="I29" s="7">
        <f t="shared" si="32"/>
        <v>3655</v>
      </c>
      <c r="J29" s="7">
        <f t="shared" si="32"/>
        <v>4100</v>
      </c>
      <c r="K29" s="7">
        <f t="shared" si="32"/>
        <v>3976</v>
      </c>
      <c r="L29" s="7">
        <f t="shared" si="32"/>
        <v>4445</v>
      </c>
      <c r="M29" s="7">
        <f t="shared" si="32"/>
        <v>4160</v>
      </c>
      <c r="N29" s="7">
        <f t="shared" si="32"/>
        <v>4479</v>
      </c>
      <c r="O29" s="7">
        <f t="shared" si="32"/>
        <v>4440</v>
      </c>
      <c r="P29" s="7">
        <f t="shared" si="32"/>
        <v>4366</v>
      </c>
      <c r="Q29" s="7">
        <f t="shared" si="32"/>
        <v>4042</v>
      </c>
      <c r="R29" s="7">
        <f t="shared" si="32"/>
        <v>3796</v>
      </c>
      <c r="S29" s="7">
        <f t="shared" si="32"/>
        <v>3433</v>
      </c>
      <c r="T29" s="7">
        <f t="shared" si="32"/>
        <v>3464</v>
      </c>
      <c r="U29" s="7">
        <f t="shared" si="32"/>
        <v>3369</v>
      </c>
      <c r="V29" s="7">
        <f t="shared" si="32"/>
        <v>3471</v>
      </c>
      <c r="W29" s="7">
        <f t="shared" si="32"/>
        <v>3238</v>
      </c>
      <c r="X29" s="7">
        <f t="shared" si="32"/>
        <v>3152</v>
      </c>
      <c r="Y29" s="7">
        <f t="shared" si="32"/>
        <v>2983</v>
      </c>
      <c r="Z29" s="7">
        <f t="shared" si="32"/>
        <v>3326</v>
      </c>
      <c r="AA29" s="7">
        <f t="shared" si="32"/>
        <v>3029.8</v>
      </c>
      <c r="AB29" s="7">
        <f t="shared" si="32"/>
        <v>2808</v>
      </c>
      <c r="AC29" s="7">
        <f t="shared" si="32"/>
        <v>2968.3</v>
      </c>
      <c r="AD29" s="7">
        <f t="shared" si="32"/>
        <v>3562.2</v>
      </c>
      <c r="AE29" s="7">
        <f t="shared" ref="AE29:AF29" si="33">AE30+AE31+AE32</f>
        <v>3760.7</v>
      </c>
      <c r="AF29" s="7">
        <f t="shared" si="33"/>
        <v>3566.3</v>
      </c>
      <c r="AG29" s="7">
        <f t="shared" si="32"/>
        <v>4728.8999999999996</v>
      </c>
      <c r="AH29" s="7">
        <f t="shared" si="32"/>
        <v>3309</v>
      </c>
      <c r="AI29" s="7">
        <f t="shared" ref="AI29:AK29" si="34">AI30+AI31+AI32</f>
        <v>3010</v>
      </c>
      <c r="AJ29" s="7">
        <f t="shared" ref="AJ29" si="35">AJ30+AJ31+AJ32</f>
        <v>2871</v>
      </c>
      <c r="AK29" s="7">
        <f t="shared" si="34"/>
        <v>3256</v>
      </c>
      <c r="AL29" s="7"/>
    </row>
    <row r="30" spans="1:40">
      <c r="A30" s="6" t="s">
        <v>1</v>
      </c>
      <c r="B30" s="6"/>
      <c r="C30" s="6"/>
      <c r="D30" s="6"/>
      <c r="E30" s="6"/>
      <c r="F30" s="9">
        <v>522</v>
      </c>
      <c r="G30" s="9">
        <v>720</v>
      </c>
      <c r="H30" s="9">
        <v>708</v>
      </c>
      <c r="I30" s="9">
        <v>728</v>
      </c>
      <c r="J30" s="9">
        <v>570</v>
      </c>
      <c r="K30" s="9">
        <v>421</v>
      </c>
      <c r="L30" s="9">
        <v>500</v>
      </c>
      <c r="M30" s="9">
        <v>534</v>
      </c>
      <c r="N30" s="9">
        <v>587</v>
      </c>
      <c r="O30" s="9">
        <v>543</v>
      </c>
      <c r="P30" s="9">
        <v>531</v>
      </c>
      <c r="Q30" s="9">
        <v>504</v>
      </c>
      <c r="R30" s="9">
        <v>432</v>
      </c>
      <c r="S30" s="9">
        <v>393</v>
      </c>
      <c r="T30" s="9">
        <v>334</v>
      </c>
      <c r="U30" s="9">
        <v>352</v>
      </c>
      <c r="V30" s="9">
        <v>342</v>
      </c>
      <c r="W30" s="14">
        <v>393</v>
      </c>
      <c r="X30" s="14">
        <v>552</v>
      </c>
      <c r="Y30" s="14">
        <v>557</v>
      </c>
      <c r="Z30" s="14">
        <v>550</v>
      </c>
      <c r="AA30" s="175">
        <v>521</v>
      </c>
      <c r="AB30" s="175">
        <v>496</v>
      </c>
      <c r="AC30" s="175">
        <v>514</v>
      </c>
      <c r="AD30" s="175">
        <v>901</v>
      </c>
      <c r="AE30" s="175">
        <v>803</v>
      </c>
      <c r="AF30" s="175">
        <v>669</v>
      </c>
      <c r="AG30" s="175">
        <v>812</v>
      </c>
      <c r="AH30" s="191">
        <v>439</v>
      </c>
      <c r="AI30" s="191">
        <v>445</v>
      </c>
      <c r="AJ30" s="191">
        <v>455</v>
      </c>
      <c r="AK30" s="191">
        <v>438</v>
      </c>
      <c r="AL30" s="191"/>
    </row>
    <row r="31" spans="1:40">
      <c r="A31" s="6" t="s">
        <v>2</v>
      </c>
      <c r="B31" s="6"/>
      <c r="C31" s="6"/>
      <c r="D31" s="6"/>
      <c r="E31" s="6"/>
      <c r="F31" s="9">
        <v>2535</v>
      </c>
      <c r="G31" s="9">
        <f>2010+43</f>
        <v>2053</v>
      </c>
      <c r="H31" s="9">
        <f>2055+33</f>
        <v>2088</v>
      </c>
      <c r="I31" s="9">
        <f>2340+38</f>
        <v>2378</v>
      </c>
      <c r="J31" s="9">
        <f>2799+167</f>
        <v>2966</v>
      </c>
      <c r="K31" s="9">
        <v>3125</v>
      </c>
      <c r="L31" s="9">
        <v>3604</v>
      </c>
      <c r="M31" s="9">
        <v>3294</v>
      </c>
      <c r="N31" s="9">
        <v>3324</v>
      </c>
      <c r="O31" s="9">
        <v>3236</v>
      </c>
      <c r="P31" s="9">
        <v>3333</v>
      </c>
      <c r="Q31" s="9">
        <v>3257</v>
      </c>
      <c r="R31" s="9">
        <v>2970</v>
      </c>
      <c r="S31" s="9">
        <v>2508</v>
      </c>
      <c r="T31" s="9">
        <v>2708</v>
      </c>
      <c r="U31" s="9">
        <v>2434</v>
      </c>
      <c r="V31" s="9">
        <v>2476</v>
      </c>
      <c r="W31" s="15">
        <v>2307</v>
      </c>
      <c r="X31" s="15">
        <v>2125</v>
      </c>
      <c r="Y31" s="15">
        <v>1945</v>
      </c>
      <c r="Z31" s="15">
        <v>2283</v>
      </c>
      <c r="AA31" s="176">
        <v>1992.4</v>
      </c>
      <c r="AB31" s="176">
        <v>1828</v>
      </c>
      <c r="AC31" s="176">
        <v>1876</v>
      </c>
      <c r="AD31" s="176">
        <v>2070</v>
      </c>
      <c r="AE31" s="176">
        <v>2629</v>
      </c>
      <c r="AF31" s="176">
        <v>2436</v>
      </c>
      <c r="AG31" s="176">
        <v>3306</v>
      </c>
      <c r="AH31" s="191">
        <v>2370</v>
      </c>
      <c r="AI31" s="191">
        <v>2100</v>
      </c>
      <c r="AJ31" s="191">
        <v>2067</v>
      </c>
      <c r="AK31" s="191">
        <v>2203</v>
      </c>
      <c r="AL31" s="191"/>
    </row>
    <row r="32" spans="1:40">
      <c r="A32" s="6" t="s">
        <v>22</v>
      </c>
      <c r="B32" s="6"/>
      <c r="C32" s="6"/>
      <c r="D32" s="6"/>
      <c r="E32" s="6"/>
      <c r="F32" s="9">
        <v>458</v>
      </c>
      <c r="G32" s="9">
        <v>459</v>
      </c>
      <c r="H32" s="9">
        <v>570</v>
      </c>
      <c r="I32" s="9">
        <v>549</v>
      </c>
      <c r="J32" s="9">
        <v>564</v>
      </c>
      <c r="K32" s="9">
        <v>430</v>
      </c>
      <c r="L32" s="9">
        <v>341</v>
      </c>
      <c r="M32" s="9">
        <v>332</v>
      </c>
      <c r="N32" s="9">
        <v>568</v>
      </c>
      <c r="O32" s="9">
        <v>661</v>
      </c>
      <c r="P32" s="9">
        <v>502</v>
      </c>
      <c r="Q32" s="9">
        <v>281</v>
      </c>
      <c r="R32" s="9">
        <v>394</v>
      </c>
      <c r="S32" s="9">
        <v>532</v>
      </c>
      <c r="T32" s="9">
        <v>422</v>
      </c>
      <c r="U32" s="9">
        <v>583</v>
      </c>
      <c r="V32" s="9">
        <v>653</v>
      </c>
      <c r="W32" s="15">
        <v>538</v>
      </c>
      <c r="X32" s="15">
        <v>475</v>
      </c>
      <c r="Y32" s="15">
        <v>481</v>
      </c>
      <c r="Z32" s="15">
        <v>493</v>
      </c>
      <c r="AA32" s="176">
        <v>516.4</v>
      </c>
      <c r="AB32" s="176">
        <v>484</v>
      </c>
      <c r="AC32" s="176">
        <v>578.29999999999995</v>
      </c>
      <c r="AD32" s="176">
        <v>591.20000000000005</v>
      </c>
      <c r="AE32" s="176">
        <v>328.7</v>
      </c>
      <c r="AF32" s="176">
        <v>461.3</v>
      </c>
      <c r="AG32" s="176">
        <v>610.9</v>
      </c>
      <c r="AH32" s="191">
        <v>500</v>
      </c>
      <c r="AI32" s="191">
        <v>465</v>
      </c>
      <c r="AJ32" s="191">
        <v>349</v>
      </c>
      <c r="AK32" s="191">
        <v>615</v>
      </c>
      <c r="AL32" s="191"/>
    </row>
    <row r="33" spans="1:38">
      <c r="A33" s="6"/>
      <c r="B33" s="6"/>
      <c r="C33" s="6"/>
      <c r="D33" s="6"/>
      <c r="E33" s="6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</row>
    <row r="34" spans="1:38">
      <c r="A34" s="7" t="s">
        <v>18</v>
      </c>
      <c r="B34" s="7"/>
      <c r="C34" s="7"/>
      <c r="D34" s="7"/>
      <c r="E34" s="7"/>
      <c r="F34" s="7">
        <f t="shared" ref="F34:AH34" si="36">F35+F36+F37</f>
        <v>20060</v>
      </c>
      <c r="G34" s="7">
        <f t="shared" si="36"/>
        <v>19719</v>
      </c>
      <c r="H34" s="7">
        <f t="shared" si="36"/>
        <v>19926</v>
      </c>
      <c r="I34" s="7">
        <f t="shared" si="36"/>
        <v>21728</v>
      </c>
      <c r="J34" s="7">
        <f t="shared" si="36"/>
        <v>23085</v>
      </c>
      <c r="K34" s="7">
        <f t="shared" si="36"/>
        <v>24365</v>
      </c>
      <c r="L34" s="7">
        <f t="shared" si="36"/>
        <v>25573</v>
      </c>
      <c r="M34" s="7">
        <f t="shared" si="36"/>
        <v>27373</v>
      </c>
      <c r="N34" s="7">
        <f t="shared" si="36"/>
        <v>29029</v>
      </c>
      <c r="O34" s="7">
        <f t="shared" si="36"/>
        <v>29842</v>
      </c>
      <c r="P34" s="7">
        <f t="shared" si="36"/>
        <v>30941</v>
      </c>
      <c r="Q34" s="7">
        <f t="shared" si="36"/>
        <v>30916</v>
      </c>
      <c r="R34" s="7">
        <f t="shared" si="36"/>
        <v>29918</v>
      </c>
      <c r="S34" s="7">
        <f t="shared" si="36"/>
        <v>28631</v>
      </c>
      <c r="T34" s="7">
        <f t="shared" si="36"/>
        <v>28723</v>
      </c>
      <c r="U34" s="7">
        <f t="shared" si="36"/>
        <v>28393</v>
      </c>
      <c r="V34" s="7">
        <f t="shared" si="36"/>
        <v>30445</v>
      </c>
      <c r="W34" s="7">
        <f t="shared" si="36"/>
        <v>28713</v>
      </c>
      <c r="X34" s="7">
        <f t="shared" si="36"/>
        <v>30505</v>
      </c>
      <c r="Y34" s="7">
        <f t="shared" si="36"/>
        <v>31509</v>
      </c>
      <c r="Z34" s="7">
        <f t="shared" si="36"/>
        <v>33168</v>
      </c>
      <c r="AA34" s="7">
        <f t="shared" si="36"/>
        <v>34183</v>
      </c>
      <c r="AB34" s="7">
        <f t="shared" si="36"/>
        <v>37685.29</v>
      </c>
      <c r="AC34" s="7">
        <f t="shared" si="36"/>
        <v>39909.360000000001</v>
      </c>
      <c r="AD34" s="7">
        <f t="shared" si="36"/>
        <v>41811.370000000003</v>
      </c>
      <c r="AE34" s="7">
        <f t="shared" ref="AE34:AF34" si="37">AE35+AE36+AE37</f>
        <v>41894.699999999997</v>
      </c>
      <c r="AF34" s="7">
        <f t="shared" si="37"/>
        <v>41101.619999999995</v>
      </c>
      <c r="AG34" s="7">
        <f t="shared" si="36"/>
        <v>42179.399000000005</v>
      </c>
      <c r="AH34" s="7">
        <f t="shared" si="36"/>
        <v>40598</v>
      </c>
      <c r="AI34" s="7">
        <f t="shared" ref="AI34:AK34" si="38">AI35+AI36+AI37</f>
        <v>38326</v>
      </c>
      <c r="AJ34" s="7">
        <f t="shared" ref="AJ34" si="39">AJ35+AJ36+AJ37</f>
        <v>42197</v>
      </c>
      <c r="AK34" s="198">
        <f t="shared" si="38"/>
        <v>45320</v>
      </c>
      <c r="AL34" s="7"/>
    </row>
    <row r="35" spans="1:38">
      <c r="A35" s="6" t="s">
        <v>1</v>
      </c>
      <c r="B35" s="6"/>
      <c r="C35" s="6"/>
      <c r="D35" s="6"/>
      <c r="E35" s="6"/>
      <c r="F35" s="9">
        <v>6213</v>
      </c>
      <c r="G35" s="9">
        <f>6620</f>
        <v>6620</v>
      </c>
      <c r="H35" s="9">
        <v>6849</v>
      </c>
      <c r="I35" s="9">
        <v>7235</v>
      </c>
      <c r="J35" s="9">
        <v>6017</v>
      </c>
      <c r="K35" s="9">
        <v>5886</v>
      </c>
      <c r="L35" s="9">
        <v>6362</v>
      </c>
      <c r="M35" s="9">
        <v>6815</v>
      </c>
      <c r="N35" s="9">
        <v>7156</v>
      </c>
      <c r="O35" s="9">
        <v>7777</v>
      </c>
      <c r="P35" s="9">
        <v>7660</v>
      </c>
      <c r="Q35" s="9">
        <v>6245</v>
      </c>
      <c r="R35" s="9">
        <v>5999</v>
      </c>
      <c r="S35" s="9">
        <v>6529</v>
      </c>
      <c r="T35" s="9">
        <v>6377</v>
      </c>
      <c r="U35" s="9">
        <v>6172</v>
      </c>
      <c r="V35" s="9">
        <v>6922</v>
      </c>
      <c r="W35" s="14">
        <v>7042</v>
      </c>
      <c r="X35" s="14">
        <v>8448</v>
      </c>
      <c r="Y35" s="14">
        <v>9986</v>
      </c>
      <c r="Z35" s="14">
        <v>10552</v>
      </c>
      <c r="AA35" s="175">
        <v>9943</v>
      </c>
      <c r="AB35" s="175">
        <v>11139</v>
      </c>
      <c r="AC35" s="175">
        <v>11052</v>
      </c>
      <c r="AD35" s="175">
        <v>11428</v>
      </c>
      <c r="AE35" s="175">
        <v>10618</v>
      </c>
      <c r="AF35" s="175">
        <v>10154</v>
      </c>
      <c r="AG35" s="175">
        <v>9632</v>
      </c>
      <c r="AH35" s="191">
        <v>8277</v>
      </c>
      <c r="AI35" s="191">
        <v>7520</v>
      </c>
      <c r="AJ35" s="191">
        <v>7644</v>
      </c>
      <c r="AK35" s="199">
        <v>8167</v>
      </c>
      <c r="AL35" s="191"/>
    </row>
    <row r="36" spans="1:38">
      <c r="A36" s="6" t="s">
        <v>2</v>
      </c>
      <c r="B36" s="6"/>
      <c r="C36" s="6"/>
      <c r="D36" s="6"/>
      <c r="E36" s="6"/>
      <c r="F36" s="9">
        <v>12369</v>
      </c>
      <c r="G36" s="9">
        <f>11466+80</f>
        <v>11546</v>
      </c>
      <c r="H36" s="9">
        <f>11371+147</f>
        <v>11518</v>
      </c>
      <c r="I36" s="9">
        <f>12693+76</f>
        <v>12769</v>
      </c>
      <c r="J36" s="9">
        <f>15283+159</f>
        <v>15442</v>
      </c>
      <c r="K36" s="9">
        <v>16831</v>
      </c>
      <c r="L36" s="9">
        <v>17360</v>
      </c>
      <c r="M36" s="9">
        <v>18421</v>
      </c>
      <c r="N36" s="9">
        <v>19744</v>
      </c>
      <c r="O36" s="9">
        <v>19925</v>
      </c>
      <c r="P36" s="9">
        <v>20873</v>
      </c>
      <c r="Q36" s="9">
        <v>22841</v>
      </c>
      <c r="R36" s="9">
        <v>22183</v>
      </c>
      <c r="S36" s="9">
        <v>20420</v>
      </c>
      <c r="T36" s="9">
        <v>20220</v>
      </c>
      <c r="U36" s="9">
        <v>20197</v>
      </c>
      <c r="V36" s="9">
        <v>21269</v>
      </c>
      <c r="W36" s="15">
        <v>19529</v>
      </c>
      <c r="X36" s="15">
        <v>19915</v>
      </c>
      <c r="Y36" s="15">
        <v>19740</v>
      </c>
      <c r="Z36" s="15">
        <v>20814</v>
      </c>
      <c r="AA36" s="176">
        <v>22157</v>
      </c>
      <c r="AB36" s="176">
        <v>23901.29</v>
      </c>
      <c r="AC36" s="176">
        <v>26287</v>
      </c>
      <c r="AD36" s="176">
        <v>27949.5</v>
      </c>
      <c r="AE36" s="176">
        <v>28739.7</v>
      </c>
      <c r="AF36" s="176">
        <v>28309.62</v>
      </c>
      <c r="AG36" s="176">
        <v>28960.400000000001</v>
      </c>
      <c r="AH36" s="191">
        <v>28966</v>
      </c>
      <c r="AI36" s="191">
        <v>27342</v>
      </c>
      <c r="AJ36" s="191">
        <v>30945</v>
      </c>
      <c r="AK36" s="199">
        <v>33216</v>
      </c>
      <c r="AL36" s="191"/>
    </row>
    <row r="37" spans="1:38">
      <c r="A37" s="6" t="s">
        <v>22</v>
      </c>
      <c r="B37" s="6"/>
      <c r="C37" s="6"/>
      <c r="D37" s="6"/>
      <c r="E37" s="6"/>
      <c r="F37" s="9">
        <v>1478</v>
      </c>
      <c r="G37" s="9">
        <v>1553</v>
      </c>
      <c r="H37" s="9">
        <v>1559</v>
      </c>
      <c r="I37" s="9">
        <v>1724</v>
      </c>
      <c r="J37" s="9">
        <v>1626</v>
      </c>
      <c r="K37" s="9">
        <v>1648</v>
      </c>
      <c r="L37" s="9">
        <v>1851</v>
      </c>
      <c r="M37" s="9">
        <v>2137</v>
      </c>
      <c r="N37" s="9">
        <v>2129</v>
      </c>
      <c r="O37" s="9">
        <v>2140</v>
      </c>
      <c r="P37" s="9">
        <v>2408</v>
      </c>
      <c r="Q37" s="9">
        <v>1830</v>
      </c>
      <c r="R37" s="9">
        <v>1736</v>
      </c>
      <c r="S37" s="9">
        <v>1682</v>
      </c>
      <c r="T37" s="9">
        <v>2126</v>
      </c>
      <c r="U37" s="9">
        <v>2024</v>
      </c>
      <c r="V37" s="9">
        <v>2254</v>
      </c>
      <c r="W37" s="15">
        <v>2142</v>
      </c>
      <c r="X37" s="15">
        <v>2142</v>
      </c>
      <c r="Y37" s="15">
        <v>1783</v>
      </c>
      <c r="Z37" s="15">
        <v>1802</v>
      </c>
      <c r="AA37" s="176">
        <v>2083</v>
      </c>
      <c r="AB37" s="176">
        <v>2645</v>
      </c>
      <c r="AC37" s="176">
        <v>2570.36</v>
      </c>
      <c r="AD37" s="176">
        <v>2433.87</v>
      </c>
      <c r="AE37" s="176">
        <v>2537</v>
      </c>
      <c r="AF37" s="176">
        <v>2638</v>
      </c>
      <c r="AG37" s="176">
        <v>3586.9989999999998</v>
      </c>
      <c r="AH37" s="191">
        <v>3355</v>
      </c>
      <c r="AI37" s="191">
        <v>3464</v>
      </c>
      <c r="AJ37" s="191">
        <v>3608</v>
      </c>
      <c r="AK37" s="199">
        <v>3937</v>
      </c>
      <c r="AL37" s="191"/>
    </row>
    <row r="38" spans="1:38">
      <c r="A38" s="6"/>
      <c r="B38" s="6"/>
      <c r="C38" s="6"/>
      <c r="D38" s="6"/>
      <c r="E38" s="6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</row>
    <row r="39" spans="1:38">
      <c r="A39" s="7" t="s">
        <v>19</v>
      </c>
      <c r="B39" s="7"/>
      <c r="C39" s="7"/>
      <c r="D39" s="7"/>
      <c r="E39" s="7"/>
      <c r="F39" s="7">
        <f t="shared" ref="F39:AH39" si="40">SUM(F40:F42)</f>
        <v>19877</v>
      </c>
      <c r="G39" s="7">
        <f t="shared" si="40"/>
        <v>19518</v>
      </c>
      <c r="H39" s="7">
        <f t="shared" si="40"/>
        <v>20206</v>
      </c>
      <c r="I39" s="7">
        <f t="shared" si="40"/>
        <v>21959</v>
      </c>
      <c r="J39" s="7">
        <f t="shared" si="40"/>
        <v>23771</v>
      </c>
      <c r="K39" s="7">
        <f t="shared" si="40"/>
        <v>24771</v>
      </c>
      <c r="L39" s="7">
        <f t="shared" si="40"/>
        <v>26555</v>
      </c>
      <c r="M39" s="7">
        <f t="shared" si="40"/>
        <v>26892</v>
      </c>
      <c r="N39" s="7">
        <f t="shared" si="40"/>
        <v>28790</v>
      </c>
      <c r="O39" s="7">
        <f t="shared" si="40"/>
        <v>28818</v>
      </c>
      <c r="P39" s="7">
        <f t="shared" si="40"/>
        <v>29279</v>
      </c>
      <c r="Q39" s="7">
        <f t="shared" si="40"/>
        <v>28851</v>
      </c>
      <c r="R39" s="7">
        <f t="shared" si="40"/>
        <v>29028</v>
      </c>
      <c r="S39" s="7">
        <f t="shared" si="40"/>
        <v>27344</v>
      </c>
      <c r="T39" s="7">
        <f t="shared" si="40"/>
        <v>27690</v>
      </c>
      <c r="U39" s="7">
        <f t="shared" si="40"/>
        <v>28845</v>
      </c>
      <c r="V39" s="7">
        <f t="shared" si="40"/>
        <v>29214</v>
      </c>
      <c r="W39" s="7">
        <f t="shared" si="40"/>
        <v>28422</v>
      </c>
      <c r="X39" s="7">
        <f t="shared" si="40"/>
        <v>30024</v>
      </c>
      <c r="Y39" s="7">
        <f t="shared" si="40"/>
        <v>32008</v>
      </c>
      <c r="Z39" s="7">
        <f t="shared" si="40"/>
        <v>34378</v>
      </c>
      <c r="AA39" s="7">
        <f t="shared" si="40"/>
        <v>36530</v>
      </c>
      <c r="AB39" s="7">
        <f t="shared" si="40"/>
        <v>40580.239999999998</v>
      </c>
      <c r="AC39" s="7">
        <f t="shared" si="40"/>
        <v>43552.19</v>
      </c>
      <c r="AD39" s="7">
        <f t="shared" si="40"/>
        <v>43660.6</v>
      </c>
      <c r="AE39" s="7">
        <f t="shared" ref="AE39:AF39" si="41">SUM(AE40:AE42)</f>
        <v>44409</v>
      </c>
      <c r="AF39" s="7">
        <f t="shared" si="41"/>
        <v>43156.619999999995</v>
      </c>
      <c r="AG39" s="7">
        <f t="shared" si="40"/>
        <v>45780.695</v>
      </c>
      <c r="AH39" s="7">
        <f t="shared" si="40"/>
        <v>42065</v>
      </c>
      <c r="AI39" s="7">
        <f t="shared" ref="AI39:AK39" si="42">SUM(AI40:AI42)</f>
        <v>42069.039999999994</v>
      </c>
      <c r="AJ39" s="7">
        <f t="shared" ref="AJ39" si="43">SUM(AJ40:AJ42)</f>
        <v>45705</v>
      </c>
      <c r="AK39" s="198">
        <f t="shared" si="42"/>
        <v>48100</v>
      </c>
      <c r="AL39" s="7"/>
    </row>
    <row r="40" spans="1:38">
      <c r="A40" s="6" t="s">
        <v>1</v>
      </c>
      <c r="B40" s="6"/>
      <c r="C40" s="6"/>
      <c r="D40" s="6"/>
      <c r="E40" s="6"/>
      <c r="F40" s="9">
        <v>6242</v>
      </c>
      <c r="G40" s="9">
        <v>6629</v>
      </c>
      <c r="H40" s="9">
        <v>6754</v>
      </c>
      <c r="I40" s="9">
        <v>6479</v>
      </c>
      <c r="J40" s="9">
        <v>5860</v>
      </c>
      <c r="K40" s="9">
        <v>5869</v>
      </c>
      <c r="L40" s="9">
        <v>6563</v>
      </c>
      <c r="M40" s="9">
        <v>6696</v>
      </c>
      <c r="N40" s="9">
        <v>6437</v>
      </c>
      <c r="O40" s="9">
        <v>5844</v>
      </c>
      <c r="P40" s="9">
        <v>4982</v>
      </c>
      <c r="Q40" s="9">
        <v>5153</v>
      </c>
      <c r="R40" s="9">
        <v>5848</v>
      </c>
      <c r="S40" s="9">
        <v>5254</v>
      </c>
      <c r="T40" s="9">
        <v>5003</v>
      </c>
      <c r="U40" s="9">
        <v>5715</v>
      </c>
      <c r="V40" s="9">
        <v>6477</v>
      </c>
      <c r="W40" s="14">
        <v>6675</v>
      </c>
      <c r="X40" s="14">
        <v>7879</v>
      </c>
      <c r="Y40" s="14">
        <v>9603</v>
      </c>
      <c r="Z40" s="14">
        <v>10516</v>
      </c>
      <c r="AA40" s="175">
        <v>10750</v>
      </c>
      <c r="AB40" s="175">
        <v>12053</v>
      </c>
      <c r="AC40" s="175">
        <v>12473</v>
      </c>
      <c r="AD40" s="175">
        <v>11895</v>
      </c>
      <c r="AE40" s="175">
        <v>10981</v>
      </c>
      <c r="AF40" s="175">
        <v>10990</v>
      </c>
      <c r="AG40" s="175">
        <v>10520</v>
      </c>
      <c r="AH40" s="191">
        <v>8772</v>
      </c>
      <c r="AI40" s="191">
        <v>7990</v>
      </c>
      <c r="AJ40" s="191">
        <v>8591</v>
      </c>
      <c r="AK40" s="199">
        <v>8538</v>
      </c>
      <c r="AL40" s="191"/>
    </row>
    <row r="41" spans="1:38">
      <c r="A41" s="6" t="s">
        <v>2</v>
      </c>
      <c r="B41" s="6"/>
      <c r="C41" s="6"/>
      <c r="D41" s="6"/>
      <c r="E41" s="6"/>
      <c r="F41" s="9">
        <v>11988</v>
      </c>
      <c r="G41" s="9">
        <f>11203+144</f>
        <v>11347</v>
      </c>
      <c r="H41" s="9">
        <f>11991+101</f>
        <v>12092</v>
      </c>
      <c r="I41" s="9">
        <f>13725+112</f>
        <v>13837</v>
      </c>
      <c r="J41" s="9">
        <v>16296</v>
      </c>
      <c r="K41" s="9">
        <v>17398</v>
      </c>
      <c r="L41" s="9">
        <v>18222</v>
      </c>
      <c r="M41" s="9">
        <v>18221</v>
      </c>
      <c r="N41" s="9">
        <v>20333</v>
      </c>
      <c r="O41" s="9">
        <v>20994</v>
      </c>
      <c r="P41" s="9">
        <v>22594</v>
      </c>
      <c r="Q41" s="9">
        <v>22113</v>
      </c>
      <c r="R41" s="9">
        <v>21620</v>
      </c>
      <c r="S41" s="9">
        <v>20306</v>
      </c>
      <c r="T41" s="9">
        <v>20911</v>
      </c>
      <c r="U41" s="9">
        <v>20979</v>
      </c>
      <c r="V41" s="9">
        <v>20748</v>
      </c>
      <c r="W41" s="15">
        <v>19801</v>
      </c>
      <c r="X41" s="15">
        <v>20279</v>
      </c>
      <c r="Y41" s="15">
        <v>20682</v>
      </c>
      <c r="Z41" s="15">
        <v>21984</v>
      </c>
      <c r="AA41" s="176">
        <v>23474</v>
      </c>
      <c r="AB41" s="176">
        <v>25889</v>
      </c>
      <c r="AC41" s="176">
        <v>28536.15</v>
      </c>
      <c r="AD41" s="176">
        <v>29422</v>
      </c>
      <c r="AE41" s="176">
        <v>31057</v>
      </c>
      <c r="AF41" s="176">
        <v>29495.62</v>
      </c>
      <c r="AG41" s="176">
        <v>31864</v>
      </c>
      <c r="AH41" s="191">
        <v>30098</v>
      </c>
      <c r="AI41" s="191">
        <v>30489.95</v>
      </c>
      <c r="AJ41" s="191">
        <v>33485</v>
      </c>
      <c r="AK41" s="199">
        <v>35828</v>
      </c>
      <c r="AL41" s="191"/>
    </row>
    <row r="42" spans="1:38">
      <c r="A42" s="6" t="s">
        <v>22</v>
      </c>
      <c r="B42" s="6"/>
      <c r="C42" s="6"/>
      <c r="D42" s="6"/>
      <c r="E42" s="6"/>
      <c r="F42" s="9">
        <v>1647</v>
      </c>
      <c r="G42" s="9">
        <v>1542</v>
      </c>
      <c r="H42" s="9">
        <v>1360</v>
      </c>
      <c r="I42" s="9">
        <v>1643</v>
      </c>
      <c r="J42" s="9">
        <v>1615</v>
      </c>
      <c r="K42" s="9">
        <v>1504</v>
      </c>
      <c r="L42" s="9">
        <v>1770</v>
      </c>
      <c r="M42" s="9">
        <v>1975</v>
      </c>
      <c r="N42" s="9">
        <v>2020</v>
      </c>
      <c r="O42" s="9">
        <v>1980</v>
      </c>
      <c r="P42" s="9">
        <v>1703</v>
      </c>
      <c r="Q42" s="9">
        <v>1585</v>
      </c>
      <c r="R42" s="9">
        <v>1560</v>
      </c>
      <c r="S42" s="9">
        <v>1784</v>
      </c>
      <c r="T42" s="9">
        <v>1776</v>
      </c>
      <c r="U42" s="9">
        <v>2151</v>
      </c>
      <c r="V42" s="9">
        <v>1989</v>
      </c>
      <c r="W42" s="15">
        <v>1946</v>
      </c>
      <c r="X42" s="15">
        <v>1866</v>
      </c>
      <c r="Y42" s="15">
        <v>1723</v>
      </c>
      <c r="Z42" s="15">
        <v>1878</v>
      </c>
      <c r="AA42" s="176">
        <v>2306</v>
      </c>
      <c r="AB42" s="176">
        <v>2638.24</v>
      </c>
      <c r="AC42" s="176">
        <v>2543.04</v>
      </c>
      <c r="AD42" s="176">
        <v>2343.6</v>
      </c>
      <c r="AE42" s="176">
        <v>2371</v>
      </c>
      <c r="AF42" s="176">
        <v>2671</v>
      </c>
      <c r="AG42" s="176">
        <v>3396.6950000000002</v>
      </c>
      <c r="AH42" s="191">
        <v>3195</v>
      </c>
      <c r="AI42" s="191">
        <f>3494+95.09</f>
        <v>3589.09</v>
      </c>
      <c r="AJ42" s="191">
        <v>3629</v>
      </c>
      <c r="AK42" s="199">
        <v>3734</v>
      </c>
      <c r="AL42" s="191"/>
    </row>
    <row r="43" spans="1:38">
      <c r="A43" s="6"/>
      <c r="B43" s="6"/>
      <c r="C43" s="6"/>
      <c r="D43" s="6"/>
      <c r="E43" s="6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1:38">
      <c r="A44" s="7" t="s">
        <v>20</v>
      </c>
      <c r="B44" s="7"/>
      <c r="C44" s="7"/>
      <c r="D44" s="7"/>
      <c r="E44" s="7"/>
      <c r="F44" s="7">
        <f t="shared" ref="F44:AG44" si="44">F29+F34+F39</f>
        <v>43452</v>
      </c>
      <c r="G44" s="7">
        <f t="shared" si="44"/>
        <v>42469</v>
      </c>
      <c r="H44" s="7">
        <f t="shared" si="44"/>
        <v>43498</v>
      </c>
      <c r="I44" s="7">
        <f t="shared" si="44"/>
        <v>47342</v>
      </c>
      <c r="J44" s="7">
        <f t="shared" si="44"/>
        <v>50956</v>
      </c>
      <c r="K44" s="7">
        <f t="shared" si="44"/>
        <v>53112</v>
      </c>
      <c r="L44" s="7">
        <f t="shared" si="44"/>
        <v>56573</v>
      </c>
      <c r="M44" s="7">
        <f t="shared" si="44"/>
        <v>58425</v>
      </c>
      <c r="N44" s="7">
        <f t="shared" si="44"/>
        <v>62298</v>
      </c>
      <c r="O44" s="7">
        <f t="shared" si="44"/>
        <v>63100</v>
      </c>
      <c r="P44" s="7">
        <f t="shared" si="44"/>
        <v>64586</v>
      </c>
      <c r="Q44" s="7">
        <f t="shared" si="44"/>
        <v>63809</v>
      </c>
      <c r="R44" s="7">
        <f t="shared" si="44"/>
        <v>62742</v>
      </c>
      <c r="S44" s="7">
        <f t="shared" si="44"/>
        <v>59408</v>
      </c>
      <c r="T44" s="7">
        <f t="shared" si="44"/>
        <v>59877</v>
      </c>
      <c r="U44" s="7">
        <f t="shared" si="44"/>
        <v>60607</v>
      </c>
      <c r="V44" s="7">
        <f t="shared" si="44"/>
        <v>63130</v>
      </c>
      <c r="W44" s="7">
        <f t="shared" si="44"/>
        <v>60373</v>
      </c>
      <c r="X44" s="7">
        <f t="shared" si="44"/>
        <v>63681</v>
      </c>
      <c r="Y44" s="7">
        <f t="shared" si="44"/>
        <v>66500</v>
      </c>
      <c r="Z44" s="7">
        <f t="shared" si="44"/>
        <v>70872</v>
      </c>
      <c r="AA44" s="7">
        <f t="shared" si="44"/>
        <v>73742.8</v>
      </c>
      <c r="AB44" s="7">
        <f t="shared" si="44"/>
        <v>81073.53</v>
      </c>
      <c r="AC44" s="7">
        <f t="shared" si="44"/>
        <v>86429.85</v>
      </c>
      <c r="AD44" s="7">
        <f t="shared" si="44"/>
        <v>89034.17</v>
      </c>
      <c r="AE44" s="7">
        <f t="shared" ref="AE44:AF44" si="45">AE29+AE34+AE39</f>
        <v>90064.4</v>
      </c>
      <c r="AF44" s="7">
        <f t="shared" si="45"/>
        <v>87824.54</v>
      </c>
      <c r="AG44" s="7">
        <f t="shared" si="44"/>
        <v>92688.994000000006</v>
      </c>
      <c r="AH44" s="7">
        <f t="shared" ref="AH44:AK44" si="46">AH29+AH34+AH39</f>
        <v>85972</v>
      </c>
      <c r="AI44" s="7">
        <f t="shared" ref="AI44:AJ44" si="47">AI29+AI34+AI39</f>
        <v>83405.039999999994</v>
      </c>
      <c r="AJ44" s="7">
        <f t="shared" si="47"/>
        <v>90773</v>
      </c>
      <c r="AK44" s="7">
        <f t="shared" si="46"/>
        <v>96676</v>
      </c>
      <c r="AL44" s="7"/>
    </row>
    <row r="45" spans="1:38">
      <c r="A45" s="6" t="s">
        <v>1</v>
      </c>
      <c r="B45" s="6"/>
      <c r="C45" s="6"/>
      <c r="D45" s="6"/>
      <c r="E45" s="6"/>
      <c r="F45" s="10">
        <f t="shared" ref="F45:AG45" si="48">F30+F35+F40</f>
        <v>12977</v>
      </c>
      <c r="G45" s="10">
        <f t="shared" si="48"/>
        <v>13969</v>
      </c>
      <c r="H45" s="10">
        <f t="shared" si="48"/>
        <v>14311</v>
      </c>
      <c r="I45" s="10">
        <f t="shared" si="48"/>
        <v>14442</v>
      </c>
      <c r="J45" s="10">
        <f t="shared" si="48"/>
        <v>12447</v>
      </c>
      <c r="K45" s="10">
        <f t="shared" si="48"/>
        <v>12176</v>
      </c>
      <c r="L45" s="10">
        <f t="shared" si="48"/>
        <v>13425</v>
      </c>
      <c r="M45" s="10">
        <f t="shared" si="48"/>
        <v>14045</v>
      </c>
      <c r="N45" s="10">
        <f t="shared" si="48"/>
        <v>14180</v>
      </c>
      <c r="O45" s="10">
        <f t="shared" si="48"/>
        <v>14164</v>
      </c>
      <c r="P45" s="10">
        <f t="shared" si="48"/>
        <v>13173</v>
      </c>
      <c r="Q45" s="10">
        <f t="shared" si="48"/>
        <v>11902</v>
      </c>
      <c r="R45" s="10">
        <f t="shared" si="48"/>
        <v>12279</v>
      </c>
      <c r="S45" s="10">
        <f t="shared" si="48"/>
        <v>12176</v>
      </c>
      <c r="T45" s="10">
        <f t="shared" si="48"/>
        <v>11714</v>
      </c>
      <c r="U45" s="10">
        <f t="shared" si="48"/>
        <v>12239</v>
      </c>
      <c r="V45" s="10">
        <f t="shared" si="48"/>
        <v>13741</v>
      </c>
      <c r="W45" s="10">
        <f t="shared" si="48"/>
        <v>14110</v>
      </c>
      <c r="X45" s="10">
        <f t="shared" si="48"/>
        <v>16879</v>
      </c>
      <c r="Y45" s="10">
        <f t="shared" si="48"/>
        <v>20146</v>
      </c>
      <c r="Z45" s="10">
        <f t="shared" si="48"/>
        <v>21618</v>
      </c>
      <c r="AA45" s="10">
        <f t="shared" si="48"/>
        <v>21214</v>
      </c>
      <c r="AB45" s="10">
        <f t="shared" si="48"/>
        <v>23688</v>
      </c>
      <c r="AC45" s="10">
        <f t="shared" si="48"/>
        <v>24039</v>
      </c>
      <c r="AD45" s="10">
        <f t="shared" si="48"/>
        <v>24224</v>
      </c>
      <c r="AE45" s="10">
        <f t="shared" ref="AE45:AF45" si="49">AE30+AE35+AE40</f>
        <v>22402</v>
      </c>
      <c r="AF45" s="10">
        <f t="shared" si="49"/>
        <v>21813</v>
      </c>
      <c r="AG45" s="10">
        <f t="shared" si="48"/>
        <v>20964</v>
      </c>
      <c r="AH45" s="10">
        <f t="shared" ref="AH45:AK45" si="50">AH30+AH35+AH40</f>
        <v>17488</v>
      </c>
      <c r="AI45" s="10">
        <f t="shared" ref="AI45:AJ45" si="51">AI30+AI35+AI40</f>
        <v>15955</v>
      </c>
      <c r="AJ45" s="10">
        <f t="shared" si="51"/>
        <v>16690</v>
      </c>
      <c r="AK45" s="10">
        <f t="shared" si="50"/>
        <v>17143</v>
      </c>
      <c r="AL45" s="10"/>
    </row>
    <row r="46" spans="1:38">
      <c r="A46" s="6" t="s">
        <v>2</v>
      </c>
      <c r="B46" s="6"/>
      <c r="C46" s="6"/>
      <c r="D46" s="6"/>
      <c r="E46" s="6"/>
      <c r="F46" s="10">
        <f t="shared" ref="F46:AG46" si="52">F31+F36+F41</f>
        <v>26892</v>
      </c>
      <c r="G46" s="10">
        <f t="shared" si="52"/>
        <v>24946</v>
      </c>
      <c r="H46" s="10">
        <f t="shared" si="52"/>
        <v>25698</v>
      </c>
      <c r="I46" s="10">
        <f t="shared" si="52"/>
        <v>28984</v>
      </c>
      <c r="J46" s="10">
        <f t="shared" si="52"/>
        <v>34704</v>
      </c>
      <c r="K46" s="10">
        <f t="shared" si="52"/>
        <v>37354</v>
      </c>
      <c r="L46" s="10">
        <f t="shared" si="52"/>
        <v>39186</v>
      </c>
      <c r="M46" s="10">
        <f t="shared" si="52"/>
        <v>39936</v>
      </c>
      <c r="N46" s="10">
        <f t="shared" si="52"/>
        <v>43401</v>
      </c>
      <c r="O46" s="10">
        <f t="shared" si="52"/>
        <v>44155</v>
      </c>
      <c r="P46" s="10">
        <f t="shared" si="52"/>
        <v>46800</v>
      </c>
      <c r="Q46" s="10">
        <f t="shared" si="52"/>
        <v>48211</v>
      </c>
      <c r="R46" s="10">
        <f t="shared" si="52"/>
        <v>46773</v>
      </c>
      <c r="S46" s="10">
        <f t="shared" si="52"/>
        <v>43234</v>
      </c>
      <c r="T46" s="10">
        <f t="shared" si="52"/>
        <v>43839</v>
      </c>
      <c r="U46" s="10">
        <f t="shared" si="52"/>
        <v>43610</v>
      </c>
      <c r="V46" s="10">
        <f t="shared" si="52"/>
        <v>44493</v>
      </c>
      <c r="W46" s="10">
        <f t="shared" si="52"/>
        <v>41637</v>
      </c>
      <c r="X46" s="10">
        <f t="shared" si="52"/>
        <v>42319</v>
      </c>
      <c r="Y46" s="10">
        <f t="shared" si="52"/>
        <v>42367</v>
      </c>
      <c r="Z46" s="10">
        <f t="shared" si="52"/>
        <v>45081</v>
      </c>
      <c r="AA46" s="10">
        <f t="shared" si="52"/>
        <v>47623.4</v>
      </c>
      <c r="AB46" s="10">
        <f t="shared" si="52"/>
        <v>51618.29</v>
      </c>
      <c r="AC46" s="10">
        <f t="shared" si="52"/>
        <v>56699.15</v>
      </c>
      <c r="AD46" s="10">
        <f t="shared" si="52"/>
        <v>59441.5</v>
      </c>
      <c r="AE46" s="10">
        <f t="shared" ref="AE46:AF46" si="53">AE31+AE36+AE41</f>
        <v>62425.7</v>
      </c>
      <c r="AF46" s="10">
        <f t="shared" si="53"/>
        <v>60241.24</v>
      </c>
      <c r="AG46" s="10">
        <f t="shared" si="52"/>
        <v>64130.400000000001</v>
      </c>
      <c r="AH46" s="10">
        <f t="shared" ref="AH46:AK46" si="54">AH31+AH36+AH41</f>
        <v>61434</v>
      </c>
      <c r="AI46" s="10">
        <f t="shared" ref="AI46:AJ46" si="55">AI31+AI36+AI41</f>
        <v>59931.95</v>
      </c>
      <c r="AJ46" s="10">
        <f t="shared" si="55"/>
        <v>66497</v>
      </c>
      <c r="AK46" s="10">
        <f t="shared" si="54"/>
        <v>71247</v>
      </c>
      <c r="AL46" s="10"/>
    </row>
    <row r="47" spans="1:38">
      <c r="A47" s="6" t="s">
        <v>22</v>
      </c>
      <c r="B47" s="6"/>
      <c r="C47" s="6"/>
      <c r="D47" s="6"/>
      <c r="E47" s="6"/>
      <c r="F47" s="10">
        <f t="shared" ref="F47:AG47" si="56">F32+F37+F42</f>
        <v>3583</v>
      </c>
      <c r="G47" s="10">
        <f t="shared" si="56"/>
        <v>3554</v>
      </c>
      <c r="H47" s="10">
        <f t="shared" si="56"/>
        <v>3489</v>
      </c>
      <c r="I47" s="10">
        <f t="shared" si="56"/>
        <v>3916</v>
      </c>
      <c r="J47" s="10">
        <f t="shared" si="56"/>
        <v>3805</v>
      </c>
      <c r="K47" s="10">
        <f t="shared" si="56"/>
        <v>3582</v>
      </c>
      <c r="L47" s="10">
        <f t="shared" si="56"/>
        <v>3962</v>
      </c>
      <c r="M47" s="10">
        <f t="shared" si="56"/>
        <v>4444</v>
      </c>
      <c r="N47" s="10">
        <f t="shared" si="56"/>
        <v>4717</v>
      </c>
      <c r="O47" s="10">
        <f t="shared" si="56"/>
        <v>4781</v>
      </c>
      <c r="P47" s="10">
        <f t="shared" si="56"/>
        <v>4613</v>
      </c>
      <c r="Q47" s="10">
        <f t="shared" si="56"/>
        <v>3696</v>
      </c>
      <c r="R47" s="10">
        <f t="shared" si="56"/>
        <v>3690</v>
      </c>
      <c r="S47" s="10">
        <f t="shared" si="56"/>
        <v>3998</v>
      </c>
      <c r="T47" s="10">
        <f t="shared" si="56"/>
        <v>4324</v>
      </c>
      <c r="U47" s="10">
        <f t="shared" si="56"/>
        <v>4758</v>
      </c>
      <c r="V47" s="10">
        <f t="shared" si="56"/>
        <v>4896</v>
      </c>
      <c r="W47" s="10">
        <f t="shared" si="56"/>
        <v>4626</v>
      </c>
      <c r="X47" s="10">
        <f t="shared" si="56"/>
        <v>4483</v>
      </c>
      <c r="Y47" s="10">
        <f t="shared" si="56"/>
        <v>3987</v>
      </c>
      <c r="Z47" s="10">
        <f t="shared" si="56"/>
        <v>4173</v>
      </c>
      <c r="AA47" s="10">
        <f t="shared" si="56"/>
        <v>4905.3999999999996</v>
      </c>
      <c r="AB47" s="10">
        <f t="shared" si="56"/>
        <v>5767.24</v>
      </c>
      <c r="AC47" s="10">
        <f t="shared" si="56"/>
        <v>5691.7</v>
      </c>
      <c r="AD47" s="10">
        <f t="shared" si="56"/>
        <v>5368.67</v>
      </c>
      <c r="AE47" s="10">
        <f t="shared" ref="AE47:AF47" si="57">AE32+AE37+AE42</f>
        <v>5236.7</v>
      </c>
      <c r="AF47" s="10">
        <f t="shared" si="57"/>
        <v>5770.3</v>
      </c>
      <c r="AG47" s="10">
        <f t="shared" si="56"/>
        <v>7594.5939999999991</v>
      </c>
      <c r="AH47" s="10">
        <f t="shared" ref="AH47:AK47" si="58">AH32+AH37+AH42</f>
        <v>7050</v>
      </c>
      <c r="AI47" s="10">
        <f t="shared" ref="AI47:AJ47" si="59">AI32+AI37+AI42</f>
        <v>7518.09</v>
      </c>
      <c r="AJ47" s="10">
        <f t="shared" si="59"/>
        <v>7586</v>
      </c>
      <c r="AK47" s="10">
        <f t="shared" si="58"/>
        <v>8286</v>
      </c>
      <c r="AL47" s="10"/>
    </row>
    <row r="48" spans="1:38">
      <c r="A48" s="6"/>
      <c r="B48" s="6"/>
      <c r="C48" s="6"/>
      <c r="D48" s="6"/>
      <c r="E48" s="6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</row>
    <row r="49" spans="1:38" ht="13.5" thickBot="1">
      <c r="A49" s="25" t="s">
        <v>12</v>
      </c>
      <c r="B49" s="25"/>
      <c r="C49" s="25"/>
      <c r="D49" s="26"/>
      <c r="E49" s="26"/>
      <c r="F49" s="26" t="s">
        <v>13</v>
      </c>
      <c r="G49" s="26" t="s">
        <v>14</v>
      </c>
      <c r="H49" s="26" t="s">
        <v>15</v>
      </c>
      <c r="I49" s="26" t="s">
        <v>16</v>
      </c>
      <c r="J49" s="26" t="s">
        <v>21</v>
      </c>
      <c r="K49" s="26" t="s">
        <v>23</v>
      </c>
      <c r="L49" s="26" t="s">
        <v>24</v>
      </c>
      <c r="M49" s="26" t="s">
        <v>38</v>
      </c>
      <c r="N49" s="26" t="s">
        <v>44</v>
      </c>
      <c r="O49" s="26" t="s">
        <v>45</v>
      </c>
      <c r="P49" s="26" t="s">
        <v>46</v>
      </c>
      <c r="Q49" s="26" t="s">
        <v>50</v>
      </c>
      <c r="R49" s="27" t="s">
        <v>53</v>
      </c>
      <c r="S49" s="27" t="s">
        <v>55</v>
      </c>
      <c r="T49" s="27" t="s">
        <v>58</v>
      </c>
      <c r="U49" s="27" t="s">
        <v>61</v>
      </c>
      <c r="V49" s="27" t="s">
        <v>63</v>
      </c>
      <c r="W49" s="27" t="s">
        <v>65</v>
      </c>
      <c r="X49" s="27" t="s">
        <v>67</v>
      </c>
      <c r="Y49" s="27" t="s">
        <v>69</v>
      </c>
      <c r="Z49" s="27" t="s">
        <v>71</v>
      </c>
      <c r="AA49" s="27" t="s">
        <v>76</v>
      </c>
      <c r="AB49" s="27" t="s">
        <v>79</v>
      </c>
      <c r="AC49" s="27" t="s">
        <v>107</v>
      </c>
      <c r="AD49" s="27" t="s">
        <v>111</v>
      </c>
      <c r="AE49" s="27" t="s">
        <v>114</v>
      </c>
      <c r="AF49" s="27" t="s">
        <v>136</v>
      </c>
      <c r="AG49" s="27" t="s">
        <v>137</v>
      </c>
      <c r="AH49" s="190" t="s">
        <v>145</v>
      </c>
      <c r="AI49" s="190" t="s">
        <v>148</v>
      </c>
      <c r="AJ49" s="190" t="s">
        <v>150</v>
      </c>
      <c r="AK49" s="190" t="s">
        <v>151</v>
      </c>
      <c r="AL49" s="190"/>
    </row>
    <row r="50" spans="1:38">
      <c r="A50" s="16" t="s">
        <v>5</v>
      </c>
      <c r="B50" s="7"/>
      <c r="C50" s="7"/>
      <c r="D50" s="7"/>
      <c r="E50" s="7"/>
      <c r="F50" s="7">
        <f t="shared" ref="F50:AG50" si="60">F51+F56+F61</f>
        <v>36254</v>
      </c>
      <c r="G50" s="7">
        <f t="shared" si="60"/>
        <v>33411</v>
      </c>
      <c r="H50" s="7">
        <f t="shared" si="60"/>
        <v>33384</v>
      </c>
      <c r="I50" s="7">
        <f t="shared" si="60"/>
        <v>33177</v>
      </c>
      <c r="J50" s="7">
        <f t="shared" si="60"/>
        <v>35957</v>
      </c>
      <c r="K50" s="7">
        <f t="shared" si="60"/>
        <v>35471</v>
      </c>
      <c r="L50" s="7">
        <f t="shared" si="60"/>
        <v>35003</v>
      </c>
      <c r="M50" s="7">
        <f t="shared" si="60"/>
        <v>37944</v>
      </c>
      <c r="N50" s="7">
        <f t="shared" si="60"/>
        <v>37171</v>
      </c>
      <c r="O50" s="7">
        <f t="shared" si="60"/>
        <v>38283</v>
      </c>
      <c r="P50" s="7">
        <f t="shared" si="60"/>
        <v>40412</v>
      </c>
      <c r="Q50" s="7">
        <f t="shared" si="60"/>
        <v>38400</v>
      </c>
      <c r="R50" s="7">
        <f t="shared" si="60"/>
        <v>36827</v>
      </c>
      <c r="S50" s="7">
        <f t="shared" si="60"/>
        <v>37083</v>
      </c>
      <c r="T50" s="7">
        <f t="shared" si="60"/>
        <v>38609</v>
      </c>
      <c r="U50" s="7">
        <f t="shared" si="60"/>
        <v>38161</v>
      </c>
      <c r="V50" s="7">
        <f t="shared" si="60"/>
        <v>40883</v>
      </c>
      <c r="W50" s="7">
        <f t="shared" si="60"/>
        <v>42825</v>
      </c>
      <c r="X50" s="7">
        <f t="shared" si="60"/>
        <v>43906</v>
      </c>
      <c r="Y50" s="7">
        <f t="shared" si="60"/>
        <v>44169</v>
      </c>
      <c r="Z50" s="7">
        <f t="shared" si="60"/>
        <v>45441</v>
      </c>
      <c r="AA50" s="7">
        <f t="shared" si="60"/>
        <v>45086.46</v>
      </c>
      <c r="AB50" s="7">
        <f t="shared" si="60"/>
        <v>45822.07</v>
      </c>
      <c r="AC50" s="7">
        <f t="shared" si="60"/>
        <v>46004.59</v>
      </c>
      <c r="AD50" s="7">
        <f t="shared" si="60"/>
        <v>46968.549999999996</v>
      </c>
      <c r="AE50" s="7">
        <f t="shared" ref="AE50:AF50" si="61">AE51+AE56+AE61</f>
        <v>45393.566000000006</v>
      </c>
      <c r="AF50" s="7">
        <f t="shared" si="61"/>
        <v>45805.101999999999</v>
      </c>
      <c r="AG50" s="7">
        <f t="shared" si="60"/>
        <v>45452.785000000003</v>
      </c>
      <c r="AH50" s="7">
        <f t="shared" ref="AH50:AK50" si="62">AH51+AH56+AH61</f>
        <v>46111.59</v>
      </c>
      <c r="AI50" s="7">
        <f t="shared" ref="AI50:AJ50" si="63">AI51+AI56+AI61</f>
        <v>46790.400000000001</v>
      </c>
      <c r="AJ50" s="7">
        <f t="shared" si="63"/>
        <v>49255</v>
      </c>
      <c r="AK50" s="7">
        <f t="shared" si="62"/>
        <v>50926</v>
      </c>
      <c r="AL50" s="7"/>
    </row>
    <row r="51" spans="1:38">
      <c r="A51" s="7" t="s">
        <v>17</v>
      </c>
      <c r="B51" s="7"/>
      <c r="C51" s="7"/>
      <c r="D51" s="7"/>
      <c r="E51" s="7"/>
      <c r="F51" s="7">
        <f t="shared" ref="F51:AG51" si="64">F52+F53+F54</f>
        <v>1577</v>
      </c>
      <c r="G51" s="7">
        <f t="shared" si="64"/>
        <v>1291</v>
      </c>
      <c r="H51" s="7">
        <f t="shared" si="64"/>
        <v>1530</v>
      </c>
      <c r="I51" s="7">
        <f t="shared" si="64"/>
        <v>1354</v>
      </c>
      <c r="J51" s="7">
        <f t="shared" si="64"/>
        <v>1314</v>
      </c>
      <c r="K51" s="7">
        <f t="shared" si="64"/>
        <v>1430</v>
      </c>
      <c r="L51" s="7">
        <f t="shared" si="64"/>
        <v>1273</v>
      </c>
      <c r="M51" s="7">
        <f t="shared" si="64"/>
        <v>1141</v>
      </c>
      <c r="N51" s="7">
        <f t="shared" si="64"/>
        <v>1238</v>
      </c>
      <c r="O51" s="7">
        <f t="shared" si="64"/>
        <v>1714</v>
      </c>
      <c r="P51" s="7">
        <f t="shared" si="64"/>
        <v>1631</v>
      </c>
      <c r="Q51" s="7">
        <f t="shared" si="64"/>
        <v>1584</v>
      </c>
      <c r="R51" s="7">
        <f t="shared" si="64"/>
        <v>1304</v>
      </c>
      <c r="S51" s="7">
        <f t="shared" si="64"/>
        <v>1499</v>
      </c>
      <c r="T51" s="7">
        <f t="shared" si="64"/>
        <v>1320</v>
      </c>
      <c r="U51" s="7">
        <f t="shared" si="64"/>
        <v>1438</v>
      </c>
      <c r="V51" s="7">
        <f t="shared" si="64"/>
        <v>1262</v>
      </c>
      <c r="W51" s="7">
        <f t="shared" si="64"/>
        <v>1627</v>
      </c>
      <c r="X51" s="7">
        <f t="shared" si="64"/>
        <v>1353</v>
      </c>
      <c r="Y51" s="7">
        <f t="shared" si="64"/>
        <v>1613</v>
      </c>
      <c r="Z51" s="7">
        <f t="shared" si="64"/>
        <v>1598</v>
      </c>
      <c r="AA51" s="7">
        <f t="shared" si="64"/>
        <v>1412</v>
      </c>
      <c r="AB51" s="7">
        <f t="shared" si="64"/>
        <v>877</v>
      </c>
      <c r="AC51" s="7">
        <f t="shared" si="64"/>
        <v>993.5</v>
      </c>
      <c r="AD51" s="7">
        <f t="shared" si="64"/>
        <v>922.3</v>
      </c>
      <c r="AE51" s="7">
        <f t="shared" ref="AE51:AF51" si="65">AE52+AE53+AE54</f>
        <v>1282.5</v>
      </c>
      <c r="AF51" s="7">
        <f t="shared" si="65"/>
        <v>1499.5</v>
      </c>
      <c r="AG51" s="7">
        <f t="shared" si="64"/>
        <v>1087</v>
      </c>
      <c r="AH51" s="7">
        <f t="shared" ref="AH51:AK51" si="66">AH52+AH53+AH54</f>
        <v>978.3</v>
      </c>
      <c r="AI51" s="7">
        <f t="shared" ref="AI51:AJ51" si="67">AI52+AI53+AI54</f>
        <v>1023</v>
      </c>
      <c r="AJ51" s="7">
        <f t="shared" si="67"/>
        <v>1071</v>
      </c>
      <c r="AK51" s="7">
        <f t="shared" si="66"/>
        <v>759</v>
      </c>
      <c r="AL51" s="7"/>
    </row>
    <row r="52" spans="1:38">
      <c r="A52" s="6" t="s">
        <v>1</v>
      </c>
      <c r="B52" s="6"/>
      <c r="C52" s="6"/>
      <c r="D52" s="6"/>
      <c r="E52" s="6"/>
      <c r="F52" s="9">
        <v>518</v>
      </c>
      <c r="G52" s="9">
        <f>464</f>
        <v>464</v>
      </c>
      <c r="H52" s="9">
        <v>503</v>
      </c>
      <c r="I52" s="9">
        <v>378</v>
      </c>
      <c r="J52" s="9">
        <v>345</v>
      </c>
      <c r="K52" s="9">
        <v>309</v>
      </c>
      <c r="L52" s="9">
        <v>304</v>
      </c>
      <c r="M52" s="9">
        <v>156</v>
      </c>
      <c r="N52" s="9">
        <v>330</v>
      </c>
      <c r="O52" s="9">
        <v>381</v>
      </c>
      <c r="P52" s="9">
        <v>326</v>
      </c>
      <c r="Q52" s="9">
        <v>279</v>
      </c>
      <c r="R52" s="9">
        <v>192</v>
      </c>
      <c r="S52" s="9">
        <v>195</v>
      </c>
      <c r="T52" s="9">
        <v>195</v>
      </c>
      <c r="U52" s="9">
        <v>210</v>
      </c>
      <c r="V52" s="9">
        <v>99</v>
      </c>
      <c r="W52" s="14">
        <v>75</v>
      </c>
      <c r="X52" s="14">
        <v>72</v>
      </c>
      <c r="Y52" s="14">
        <v>79</v>
      </c>
      <c r="Z52" s="14">
        <v>64</v>
      </c>
      <c r="AA52" s="175">
        <v>32</v>
      </c>
      <c r="AB52" s="175">
        <v>0</v>
      </c>
      <c r="AC52" s="175">
        <v>32</v>
      </c>
      <c r="AD52" s="175">
        <v>0</v>
      </c>
      <c r="AE52" s="175">
        <v>0</v>
      </c>
      <c r="AF52" s="175">
        <v>0</v>
      </c>
      <c r="AG52" s="175">
        <v>36</v>
      </c>
      <c r="AH52" s="191">
        <v>33</v>
      </c>
      <c r="AI52" s="191">
        <v>33</v>
      </c>
      <c r="AJ52" s="191">
        <v>0</v>
      </c>
      <c r="AK52" s="191">
        <v>0</v>
      </c>
      <c r="AL52" s="191"/>
    </row>
    <row r="53" spans="1:38">
      <c r="A53" s="6" t="s">
        <v>2</v>
      </c>
      <c r="B53" s="6"/>
      <c r="C53" s="6"/>
      <c r="D53" s="6"/>
      <c r="E53" s="6"/>
      <c r="F53" s="9">
        <v>807</v>
      </c>
      <c r="G53" s="9">
        <f>408+241</f>
        <v>649</v>
      </c>
      <c r="H53" s="9">
        <f>475+290</f>
        <v>765</v>
      </c>
      <c r="I53" s="9">
        <f>466+230</f>
        <v>696</v>
      </c>
      <c r="J53" s="9">
        <f>462+258</f>
        <v>720</v>
      </c>
      <c r="K53" s="9">
        <v>896</v>
      </c>
      <c r="L53" s="9">
        <v>760</v>
      </c>
      <c r="M53" s="9">
        <v>764</v>
      </c>
      <c r="N53" s="9">
        <v>683</v>
      </c>
      <c r="O53" s="9">
        <v>975</v>
      </c>
      <c r="P53" s="9">
        <v>1031</v>
      </c>
      <c r="Q53" s="9">
        <v>1071</v>
      </c>
      <c r="R53" s="9">
        <v>716</v>
      </c>
      <c r="S53" s="9">
        <v>951</v>
      </c>
      <c r="T53" s="9">
        <v>790</v>
      </c>
      <c r="U53" s="9">
        <v>802</v>
      </c>
      <c r="V53" s="9">
        <v>726</v>
      </c>
      <c r="W53" s="15">
        <v>879</v>
      </c>
      <c r="X53" s="15">
        <v>797</v>
      </c>
      <c r="Y53" s="15">
        <v>1012</v>
      </c>
      <c r="Z53" s="15">
        <v>864</v>
      </c>
      <c r="AA53" s="176">
        <v>821</v>
      </c>
      <c r="AB53" s="176">
        <v>513</v>
      </c>
      <c r="AC53" s="176">
        <v>590</v>
      </c>
      <c r="AD53" s="176">
        <v>613.29999999999995</v>
      </c>
      <c r="AE53" s="176">
        <v>631</v>
      </c>
      <c r="AF53" s="176">
        <v>967</v>
      </c>
      <c r="AG53" s="176">
        <v>663</v>
      </c>
      <c r="AH53" s="191">
        <v>610.29999999999995</v>
      </c>
      <c r="AI53" s="191">
        <v>617</v>
      </c>
      <c r="AJ53" s="191">
        <v>586</v>
      </c>
      <c r="AK53" s="191">
        <v>429</v>
      </c>
      <c r="AL53" s="191"/>
    </row>
    <row r="54" spans="1:38">
      <c r="A54" s="6" t="s">
        <v>22</v>
      </c>
      <c r="B54" s="6"/>
      <c r="C54" s="6"/>
      <c r="D54" s="6"/>
      <c r="E54" s="6"/>
      <c r="F54" s="9">
        <v>252</v>
      </c>
      <c r="G54" s="9">
        <v>178</v>
      </c>
      <c r="H54" s="9">
        <v>262</v>
      </c>
      <c r="I54" s="9">
        <v>280</v>
      </c>
      <c r="J54" s="9">
        <v>249</v>
      </c>
      <c r="K54" s="9">
        <v>225</v>
      </c>
      <c r="L54" s="9">
        <v>209</v>
      </c>
      <c r="M54" s="9">
        <v>221</v>
      </c>
      <c r="N54" s="9">
        <v>225</v>
      </c>
      <c r="O54" s="9">
        <v>358</v>
      </c>
      <c r="P54" s="9">
        <v>274</v>
      </c>
      <c r="Q54" s="9">
        <v>234</v>
      </c>
      <c r="R54" s="9">
        <v>396</v>
      </c>
      <c r="S54" s="9">
        <v>353</v>
      </c>
      <c r="T54" s="9">
        <v>335</v>
      </c>
      <c r="U54" s="9">
        <v>426</v>
      </c>
      <c r="V54" s="9">
        <v>437</v>
      </c>
      <c r="W54" s="15">
        <v>673</v>
      </c>
      <c r="X54" s="15">
        <v>484</v>
      </c>
      <c r="Y54" s="15">
        <v>522</v>
      </c>
      <c r="Z54" s="15">
        <v>670</v>
      </c>
      <c r="AA54" s="176">
        <v>559</v>
      </c>
      <c r="AB54" s="176">
        <v>364</v>
      </c>
      <c r="AC54" s="176">
        <v>371.5</v>
      </c>
      <c r="AD54" s="176">
        <v>309</v>
      </c>
      <c r="AE54" s="176">
        <v>651.5</v>
      </c>
      <c r="AF54" s="176">
        <v>532.5</v>
      </c>
      <c r="AG54" s="176">
        <v>388</v>
      </c>
      <c r="AH54" s="191">
        <v>335</v>
      </c>
      <c r="AI54" s="191">
        <v>373</v>
      </c>
      <c r="AJ54" s="191">
        <v>485</v>
      </c>
      <c r="AK54" s="191">
        <v>330</v>
      </c>
      <c r="AL54" s="191"/>
    </row>
    <row r="55" spans="1:38">
      <c r="A55" s="6"/>
      <c r="B55" s="6"/>
      <c r="C55" s="6"/>
      <c r="D55" s="6"/>
      <c r="E55" s="6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</row>
    <row r="56" spans="1:38">
      <c r="A56" s="7" t="s">
        <v>18</v>
      </c>
      <c r="B56" s="7"/>
      <c r="C56" s="7"/>
      <c r="D56" s="7"/>
      <c r="E56" s="7"/>
      <c r="F56" s="7">
        <f t="shared" ref="F56:AH56" si="68">F57+F58+F59</f>
        <v>17744</v>
      </c>
      <c r="G56" s="7">
        <f t="shared" si="68"/>
        <v>17091</v>
      </c>
      <c r="H56" s="7">
        <f t="shared" si="68"/>
        <v>16425</v>
      </c>
      <c r="I56" s="7">
        <f t="shared" si="68"/>
        <v>16104</v>
      </c>
      <c r="J56" s="7">
        <f t="shared" si="68"/>
        <v>18544</v>
      </c>
      <c r="K56" s="7">
        <f t="shared" si="68"/>
        <v>17914</v>
      </c>
      <c r="L56" s="7">
        <f t="shared" si="68"/>
        <v>17640</v>
      </c>
      <c r="M56" s="7">
        <f t="shared" si="68"/>
        <v>19692</v>
      </c>
      <c r="N56" s="7">
        <f t="shared" si="68"/>
        <v>18087</v>
      </c>
      <c r="O56" s="7">
        <f t="shared" si="68"/>
        <v>18826</v>
      </c>
      <c r="P56" s="7">
        <f t="shared" si="68"/>
        <v>20254</v>
      </c>
      <c r="Q56" s="7">
        <f t="shared" si="68"/>
        <v>19370</v>
      </c>
      <c r="R56" s="7">
        <f t="shared" si="68"/>
        <v>19071</v>
      </c>
      <c r="S56" s="7">
        <f t="shared" si="68"/>
        <v>18967</v>
      </c>
      <c r="T56" s="7">
        <f t="shared" si="68"/>
        <v>19965</v>
      </c>
      <c r="U56" s="7">
        <f t="shared" si="68"/>
        <v>19063</v>
      </c>
      <c r="V56" s="7">
        <f t="shared" si="68"/>
        <v>20540</v>
      </c>
      <c r="W56" s="7">
        <f t="shared" si="68"/>
        <v>21238</v>
      </c>
      <c r="X56" s="7">
        <f t="shared" si="68"/>
        <v>21789</v>
      </c>
      <c r="Y56" s="7">
        <f t="shared" si="68"/>
        <v>21734</v>
      </c>
      <c r="Z56" s="7">
        <f t="shared" si="68"/>
        <v>22598</v>
      </c>
      <c r="AA56" s="7">
        <f t="shared" si="68"/>
        <v>22892.5</v>
      </c>
      <c r="AB56" s="7">
        <f t="shared" si="68"/>
        <v>22943.98</v>
      </c>
      <c r="AC56" s="7">
        <f t="shared" si="68"/>
        <v>22780.46</v>
      </c>
      <c r="AD56" s="7">
        <f t="shared" si="68"/>
        <v>24124.959999999999</v>
      </c>
      <c r="AE56" s="7">
        <f t="shared" ref="AE56:AF56" si="69">AE57+AE58+AE59</f>
        <v>22750.560000000001</v>
      </c>
      <c r="AF56" s="7">
        <f t="shared" si="69"/>
        <v>22567.739999999998</v>
      </c>
      <c r="AG56" s="7">
        <f t="shared" si="68"/>
        <v>22312.1</v>
      </c>
      <c r="AH56" s="7">
        <f t="shared" si="68"/>
        <v>23290</v>
      </c>
      <c r="AI56" s="7">
        <f t="shared" ref="AI56:AK56" si="70">AI57+AI58+AI59</f>
        <v>23721</v>
      </c>
      <c r="AJ56" s="7">
        <f t="shared" ref="AJ56" si="71">AJ57+AJ58+AJ59</f>
        <v>25736</v>
      </c>
      <c r="AK56" s="198">
        <f t="shared" si="70"/>
        <v>25462</v>
      </c>
      <c r="AL56" s="7"/>
    </row>
    <row r="57" spans="1:38">
      <c r="A57" s="6" t="s">
        <v>1</v>
      </c>
      <c r="B57" s="6"/>
      <c r="C57" s="6"/>
      <c r="D57" s="6"/>
      <c r="E57" s="6"/>
      <c r="F57" s="9">
        <v>9169</v>
      </c>
      <c r="G57" s="9">
        <f>8720</f>
        <v>8720</v>
      </c>
      <c r="H57" s="9">
        <v>8134</v>
      </c>
      <c r="I57" s="9">
        <v>8648</v>
      </c>
      <c r="J57" s="9">
        <v>10200</v>
      </c>
      <c r="K57" s="9">
        <v>10120</v>
      </c>
      <c r="L57" s="9">
        <v>9619</v>
      </c>
      <c r="M57" s="9">
        <v>10873</v>
      </c>
      <c r="N57" s="9">
        <v>10027</v>
      </c>
      <c r="O57" s="9">
        <v>9955</v>
      </c>
      <c r="P57" s="9">
        <v>10714</v>
      </c>
      <c r="Q57" s="9">
        <v>9715</v>
      </c>
      <c r="R57" s="9">
        <v>9928</v>
      </c>
      <c r="S57" s="9">
        <v>10032</v>
      </c>
      <c r="T57" s="9">
        <v>10584</v>
      </c>
      <c r="U57" s="9">
        <v>10336</v>
      </c>
      <c r="V57" s="9">
        <v>10807</v>
      </c>
      <c r="W57" s="14">
        <v>10660</v>
      </c>
      <c r="X57" s="14">
        <v>11052</v>
      </c>
      <c r="Y57" s="14">
        <v>10595</v>
      </c>
      <c r="Z57" s="14">
        <v>10587</v>
      </c>
      <c r="AA57" s="175">
        <v>10458.75</v>
      </c>
      <c r="AB57" s="175">
        <v>10741.34</v>
      </c>
      <c r="AC57" s="175">
        <v>10388.81</v>
      </c>
      <c r="AD57" s="175">
        <v>10657.96</v>
      </c>
      <c r="AE57" s="175">
        <v>10124.459999999999</v>
      </c>
      <c r="AF57" s="175">
        <v>10343.34</v>
      </c>
      <c r="AG57" s="175">
        <v>10301.1</v>
      </c>
      <c r="AH57" s="191">
        <v>10814.6</v>
      </c>
      <c r="AI57" s="191">
        <v>11110</v>
      </c>
      <c r="AJ57" s="191">
        <v>12092</v>
      </c>
      <c r="AK57" s="199">
        <v>11348</v>
      </c>
      <c r="AL57" s="191"/>
    </row>
    <row r="58" spans="1:38">
      <c r="A58" s="6" t="s">
        <v>2</v>
      </c>
      <c r="B58" s="6"/>
      <c r="C58" s="6"/>
      <c r="D58" s="6"/>
      <c r="E58" s="6"/>
      <c r="F58" s="9">
        <v>7548</v>
      </c>
      <c r="G58" s="9">
        <f>6854+437</f>
        <v>7291</v>
      </c>
      <c r="H58" s="9">
        <f>6782+536</f>
        <v>7318</v>
      </c>
      <c r="I58" s="9">
        <f>6108+381</f>
        <v>6489</v>
      </c>
      <c r="J58" s="9">
        <f>6852+495</f>
        <v>7347</v>
      </c>
      <c r="K58" s="9">
        <v>6910</v>
      </c>
      <c r="L58" s="9">
        <v>7230</v>
      </c>
      <c r="M58" s="9">
        <v>7862</v>
      </c>
      <c r="N58" s="9">
        <v>7224</v>
      </c>
      <c r="O58" s="9">
        <v>7684</v>
      </c>
      <c r="P58" s="9">
        <v>8121</v>
      </c>
      <c r="Q58" s="9">
        <v>7973</v>
      </c>
      <c r="R58" s="9">
        <v>7525</v>
      </c>
      <c r="S58" s="9">
        <v>7276</v>
      </c>
      <c r="T58" s="9">
        <v>7643</v>
      </c>
      <c r="U58" s="9">
        <v>7015</v>
      </c>
      <c r="V58" s="9">
        <v>7887</v>
      </c>
      <c r="W58" s="15">
        <v>8487</v>
      </c>
      <c r="X58" s="15">
        <v>8732</v>
      </c>
      <c r="Y58" s="15">
        <v>9057</v>
      </c>
      <c r="Z58" s="15">
        <v>9528</v>
      </c>
      <c r="AA58" s="176">
        <v>9866.75</v>
      </c>
      <c r="AB58" s="176">
        <v>9435.64</v>
      </c>
      <c r="AC58" s="176">
        <v>9833.4</v>
      </c>
      <c r="AD58" s="176">
        <v>10678</v>
      </c>
      <c r="AE58" s="176">
        <v>9844.2000000000007</v>
      </c>
      <c r="AF58" s="176">
        <v>9409.4</v>
      </c>
      <c r="AG58" s="176">
        <v>9529</v>
      </c>
      <c r="AH58" s="191">
        <v>10110.4</v>
      </c>
      <c r="AI58" s="191">
        <v>10056</v>
      </c>
      <c r="AJ58" s="191">
        <v>10901</v>
      </c>
      <c r="AK58" s="199">
        <v>11336</v>
      </c>
      <c r="AL58" s="191"/>
    </row>
    <row r="59" spans="1:38">
      <c r="A59" s="6" t="s">
        <v>22</v>
      </c>
      <c r="B59" s="6"/>
      <c r="C59" s="6"/>
      <c r="D59" s="6"/>
      <c r="E59" s="6"/>
      <c r="F59" s="9">
        <v>1027</v>
      </c>
      <c r="G59" s="9">
        <v>1080</v>
      </c>
      <c r="H59" s="9">
        <v>973</v>
      </c>
      <c r="I59" s="9">
        <v>967</v>
      </c>
      <c r="J59" s="9">
        <v>997</v>
      </c>
      <c r="K59" s="9">
        <v>884</v>
      </c>
      <c r="L59" s="9">
        <v>791</v>
      </c>
      <c r="M59" s="9">
        <v>957</v>
      </c>
      <c r="N59" s="9">
        <v>836</v>
      </c>
      <c r="O59" s="9">
        <v>1187</v>
      </c>
      <c r="P59" s="9">
        <v>1419</v>
      </c>
      <c r="Q59" s="9">
        <v>1682</v>
      </c>
      <c r="R59" s="9">
        <v>1618</v>
      </c>
      <c r="S59" s="9">
        <v>1659</v>
      </c>
      <c r="T59" s="9">
        <v>1738</v>
      </c>
      <c r="U59" s="9">
        <v>1712</v>
      </c>
      <c r="V59" s="9">
        <v>1846</v>
      </c>
      <c r="W59" s="15">
        <v>2091</v>
      </c>
      <c r="X59" s="15">
        <v>2005</v>
      </c>
      <c r="Y59" s="15">
        <v>2082</v>
      </c>
      <c r="Z59" s="15">
        <v>2483</v>
      </c>
      <c r="AA59" s="176">
        <v>2567</v>
      </c>
      <c r="AB59" s="176">
        <v>2767</v>
      </c>
      <c r="AC59" s="176">
        <v>2558.25</v>
      </c>
      <c r="AD59" s="176">
        <v>2789</v>
      </c>
      <c r="AE59" s="176">
        <v>2781.9</v>
      </c>
      <c r="AF59" s="176">
        <v>2815</v>
      </c>
      <c r="AG59" s="176">
        <v>2482</v>
      </c>
      <c r="AH59" s="191">
        <v>2365</v>
      </c>
      <c r="AI59" s="191">
        <v>2555</v>
      </c>
      <c r="AJ59" s="191">
        <v>2743</v>
      </c>
      <c r="AK59" s="199">
        <v>2778</v>
      </c>
      <c r="AL59" s="191"/>
    </row>
    <row r="60" spans="1:38">
      <c r="A60" s="6"/>
      <c r="B60" s="6"/>
      <c r="C60" s="6"/>
      <c r="D60" s="6"/>
      <c r="E60" s="6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</row>
    <row r="61" spans="1:38">
      <c r="A61" s="7" t="s">
        <v>19</v>
      </c>
      <c r="B61" s="7"/>
      <c r="C61" s="7"/>
      <c r="D61" s="7"/>
      <c r="E61" s="7"/>
      <c r="F61" s="7">
        <f t="shared" ref="F61:AH61" si="72">F62+F63+F64</f>
        <v>16933</v>
      </c>
      <c r="G61" s="7">
        <f t="shared" si="72"/>
        <v>15029</v>
      </c>
      <c r="H61" s="7">
        <f t="shared" si="72"/>
        <v>15429</v>
      </c>
      <c r="I61" s="7">
        <f t="shared" si="72"/>
        <v>15719</v>
      </c>
      <c r="J61" s="7">
        <f t="shared" si="72"/>
        <v>16099</v>
      </c>
      <c r="K61" s="7">
        <f t="shared" si="72"/>
        <v>16127</v>
      </c>
      <c r="L61" s="7">
        <f t="shared" si="72"/>
        <v>16090</v>
      </c>
      <c r="M61" s="7">
        <f t="shared" si="72"/>
        <v>17111</v>
      </c>
      <c r="N61" s="7">
        <f t="shared" si="72"/>
        <v>17846</v>
      </c>
      <c r="O61" s="7">
        <f t="shared" si="72"/>
        <v>17743</v>
      </c>
      <c r="P61" s="7">
        <f t="shared" si="72"/>
        <v>18527</v>
      </c>
      <c r="Q61" s="7">
        <f t="shared" si="72"/>
        <v>17446</v>
      </c>
      <c r="R61" s="7">
        <f t="shared" si="72"/>
        <v>16452</v>
      </c>
      <c r="S61" s="7">
        <f t="shared" si="72"/>
        <v>16617</v>
      </c>
      <c r="T61" s="7">
        <f t="shared" si="72"/>
        <v>17324</v>
      </c>
      <c r="U61" s="7">
        <f t="shared" si="72"/>
        <v>17660</v>
      </c>
      <c r="V61" s="7">
        <f t="shared" si="72"/>
        <v>19081</v>
      </c>
      <c r="W61" s="7">
        <f t="shared" si="72"/>
        <v>19960</v>
      </c>
      <c r="X61" s="7">
        <f t="shared" si="72"/>
        <v>20764</v>
      </c>
      <c r="Y61" s="7">
        <f t="shared" si="72"/>
        <v>20822</v>
      </c>
      <c r="Z61" s="7">
        <f t="shared" si="72"/>
        <v>21245</v>
      </c>
      <c r="AA61" s="7">
        <f t="shared" si="72"/>
        <v>20781.96</v>
      </c>
      <c r="AB61" s="7">
        <f t="shared" si="72"/>
        <v>22001.09</v>
      </c>
      <c r="AC61" s="7">
        <f t="shared" si="72"/>
        <v>22230.63</v>
      </c>
      <c r="AD61" s="7">
        <f t="shared" si="72"/>
        <v>21921.289999999997</v>
      </c>
      <c r="AE61" s="7">
        <f t="shared" ref="AE61:AF61" si="73">AE62+AE63+AE64</f>
        <v>21360.506000000001</v>
      </c>
      <c r="AF61" s="7">
        <f t="shared" si="73"/>
        <v>21737.862000000001</v>
      </c>
      <c r="AG61" s="7">
        <f t="shared" si="72"/>
        <v>22053.685000000001</v>
      </c>
      <c r="AH61" s="7">
        <f t="shared" si="72"/>
        <v>21843.29</v>
      </c>
      <c r="AI61" s="7">
        <f t="shared" ref="AI61:AK61" si="74">AI62+AI63+AI64</f>
        <v>22046.400000000001</v>
      </c>
      <c r="AJ61" s="7">
        <f t="shared" ref="AJ61" si="75">AJ62+AJ63+AJ64</f>
        <v>22448</v>
      </c>
      <c r="AK61" s="198">
        <f t="shared" si="74"/>
        <v>24705</v>
      </c>
      <c r="AL61" s="7"/>
    </row>
    <row r="62" spans="1:38">
      <c r="A62" s="6" t="s">
        <v>1</v>
      </c>
      <c r="B62" s="6"/>
      <c r="C62" s="6"/>
      <c r="D62" s="6"/>
      <c r="E62" s="6"/>
      <c r="F62" s="9">
        <v>8377</v>
      </c>
      <c r="G62" s="9">
        <f>6987</f>
        <v>6987</v>
      </c>
      <c r="H62" s="9">
        <v>7462</v>
      </c>
      <c r="I62" s="9">
        <v>7757</v>
      </c>
      <c r="J62" s="9">
        <v>8153</v>
      </c>
      <c r="K62" s="9">
        <v>8089</v>
      </c>
      <c r="L62" s="9">
        <v>8038</v>
      </c>
      <c r="M62" s="9">
        <v>8561</v>
      </c>
      <c r="N62" s="9">
        <v>9051</v>
      </c>
      <c r="O62" s="9">
        <v>8904</v>
      </c>
      <c r="P62" s="9">
        <v>8814</v>
      </c>
      <c r="Q62" s="9">
        <v>7792</v>
      </c>
      <c r="R62" s="9">
        <v>7590</v>
      </c>
      <c r="S62" s="9">
        <v>7469</v>
      </c>
      <c r="T62" s="9">
        <v>7982</v>
      </c>
      <c r="U62" s="9">
        <v>8391</v>
      </c>
      <c r="V62" s="9">
        <v>8303</v>
      </c>
      <c r="W62" s="14">
        <v>8462</v>
      </c>
      <c r="X62" s="14">
        <v>8639</v>
      </c>
      <c r="Y62" s="14">
        <v>8434</v>
      </c>
      <c r="Z62" s="14">
        <v>8666</v>
      </c>
      <c r="AA62" s="175">
        <v>9034.6200000000008</v>
      </c>
      <c r="AB62" s="175">
        <v>9034.84</v>
      </c>
      <c r="AC62" s="175">
        <v>9338.5400000000009</v>
      </c>
      <c r="AD62" s="175">
        <v>8895.9</v>
      </c>
      <c r="AE62" s="175">
        <v>8423.18</v>
      </c>
      <c r="AF62" s="175">
        <v>8709.5</v>
      </c>
      <c r="AG62" s="175">
        <v>8886.86</v>
      </c>
      <c r="AH62" s="191">
        <v>9454.7199999999993</v>
      </c>
      <c r="AI62" s="191">
        <v>9675.0400000000009</v>
      </c>
      <c r="AJ62" s="191">
        <v>8583</v>
      </c>
      <c r="AK62" s="199">
        <v>9821</v>
      </c>
      <c r="AL62" s="191"/>
    </row>
    <row r="63" spans="1:38">
      <c r="A63" s="6" t="s">
        <v>2</v>
      </c>
      <c r="B63" s="6"/>
      <c r="C63" s="6"/>
      <c r="D63" s="6"/>
      <c r="E63" s="6"/>
      <c r="F63" s="9">
        <v>7409</v>
      </c>
      <c r="G63" s="9">
        <f>6293+569</f>
        <v>6862</v>
      </c>
      <c r="H63" s="9">
        <f>6469+437</f>
        <v>6906</v>
      </c>
      <c r="I63" s="9">
        <f>6152+453</f>
        <v>6605</v>
      </c>
      <c r="J63" s="9">
        <v>6820</v>
      </c>
      <c r="K63" s="9">
        <v>6924</v>
      </c>
      <c r="L63" s="9">
        <v>6918</v>
      </c>
      <c r="M63" s="9">
        <v>7649</v>
      </c>
      <c r="N63" s="9">
        <v>7703</v>
      </c>
      <c r="O63" s="9">
        <v>7580</v>
      </c>
      <c r="P63" s="9">
        <v>8159</v>
      </c>
      <c r="Q63" s="9">
        <v>8072</v>
      </c>
      <c r="R63" s="9">
        <v>7548</v>
      </c>
      <c r="S63" s="9">
        <v>7945</v>
      </c>
      <c r="T63" s="9">
        <v>7749</v>
      </c>
      <c r="U63" s="9">
        <v>7550</v>
      </c>
      <c r="V63" s="9">
        <v>8878</v>
      </c>
      <c r="W63" s="15">
        <v>8537</v>
      </c>
      <c r="X63" s="15">
        <v>9049</v>
      </c>
      <c r="Y63" s="15">
        <v>8350</v>
      </c>
      <c r="Z63" s="15">
        <v>8528</v>
      </c>
      <c r="AA63" s="176">
        <v>8037.09</v>
      </c>
      <c r="AB63" s="176">
        <v>9430</v>
      </c>
      <c r="AC63" s="176">
        <v>9264.59</v>
      </c>
      <c r="AD63" s="176">
        <v>9004.09</v>
      </c>
      <c r="AE63" s="176">
        <v>9153.59</v>
      </c>
      <c r="AF63" s="176">
        <v>9664.52</v>
      </c>
      <c r="AG63" s="176">
        <v>9729.59</v>
      </c>
      <c r="AH63" s="191">
        <v>9102.6</v>
      </c>
      <c r="AI63" s="191">
        <v>9000.4</v>
      </c>
      <c r="AJ63" s="191">
        <v>10086</v>
      </c>
      <c r="AK63" s="199">
        <v>10781</v>
      </c>
      <c r="AL63" s="191"/>
    </row>
    <row r="64" spans="1:38">
      <c r="A64" s="6" t="s">
        <v>22</v>
      </c>
      <c r="B64" s="6"/>
      <c r="C64" s="6"/>
      <c r="D64" s="6"/>
      <c r="E64" s="6"/>
      <c r="F64" s="9">
        <v>1147</v>
      </c>
      <c r="G64" s="9">
        <v>1180</v>
      </c>
      <c r="H64" s="9">
        <v>1061</v>
      </c>
      <c r="I64" s="9">
        <v>1357</v>
      </c>
      <c r="J64" s="9">
        <v>1126</v>
      </c>
      <c r="K64" s="9">
        <v>1114</v>
      </c>
      <c r="L64" s="9">
        <v>1134</v>
      </c>
      <c r="M64" s="9">
        <v>901</v>
      </c>
      <c r="N64" s="9">
        <v>1092</v>
      </c>
      <c r="O64" s="9">
        <v>1259</v>
      </c>
      <c r="P64" s="9">
        <v>1554</v>
      </c>
      <c r="Q64" s="9">
        <v>1582</v>
      </c>
      <c r="R64" s="9">
        <v>1314</v>
      </c>
      <c r="S64" s="9">
        <v>1203</v>
      </c>
      <c r="T64" s="9">
        <v>1593</v>
      </c>
      <c r="U64" s="9">
        <v>1719</v>
      </c>
      <c r="V64" s="9">
        <v>1900</v>
      </c>
      <c r="W64" s="15">
        <v>2961</v>
      </c>
      <c r="X64" s="15">
        <v>3076</v>
      </c>
      <c r="Y64" s="15">
        <v>4038</v>
      </c>
      <c r="Z64" s="15">
        <v>4051</v>
      </c>
      <c r="AA64" s="176">
        <v>3710.25</v>
      </c>
      <c r="AB64" s="176">
        <v>3536.25</v>
      </c>
      <c r="AC64" s="176">
        <v>3627.5</v>
      </c>
      <c r="AD64" s="176">
        <v>4021.3</v>
      </c>
      <c r="AE64" s="176">
        <v>3783.7359999999999</v>
      </c>
      <c r="AF64" s="176">
        <v>3363.8420000000001</v>
      </c>
      <c r="AG64" s="176">
        <v>3437.2350000000001</v>
      </c>
      <c r="AH64" s="191">
        <v>3285.97</v>
      </c>
      <c r="AI64" s="191">
        <f>2990.96+380</f>
        <v>3370.96</v>
      </c>
      <c r="AJ64" s="191">
        <v>3779</v>
      </c>
      <c r="AK64" s="199">
        <v>4103</v>
      </c>
      <c r="AL64" s="191"/>
    </row>
    <row r="65" spans="1:38">
      <c r="A65" s="6"/>
      <c r="B65" s="6"/>
      <c r="C65" s="6"/>
      <c r="D65" s="6"/>
      <c r="E65" s="6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</row>
    <row r="66" spans="1:38">
      <c r="A66" s="7" t="s">
        <v>20</v>
      </c>
      <c r="B66" s="7"/>
      <c r="C66" s="7"/>
      <c r="D66" s="7"/>
      <c r="E66" s="7"/>
      <c r="F66" s="7">
        <f t="shared" ref="F66:AG66" si="76">F51+F56+F61</f>
        <v>36254</v>
      </c>
      <c r="G66" s="7">
        <f t="shared" si="76"/>
        <v>33411</v>
      </c>
      <c r="H66" s="7">
        <f t="shared" si="76"/>
        <v>33384</v>
      </c>
      <c r="I66" s="7">
        <f t="shared" si="76"/>
        <v>33177</v>
      </c>
      <c r="J66" s="7">
        <f t="shared" si="76"/>
        <v>35957</v>
      </c>
      <c r="K66" s="7">
        <f t="shared" si="76"/>
        <v>35471</v>
      </c>
      <c r="L66" s="7">
        <f t="shared" si="76"/>
        <v>35003</v>
      </c>
      <c r="M66" s="7">
        <f t="shared" si="76"/>
        <v>37944</v>
      </c>
      <c r="N66" s="7">
        <f t="shared" si="76"/>
        <v>37171</v>
      </c>
      <c r="O66" s="7">
        <f t="shared" si="76"/>
        <v>38283</v>
      </c>
      <c r="P66" s="7">
        <f t="shared" si="76"/>
        <v>40412</v>
      </c>
      <c r="Q66" s="7">
        <f t="shared" si="76"/>
        <v>38400</v>
      </c>
      <c r="R66" s="7">
        <f t="shared" si="76"/>
        <v>36827</v>
      </c>
      <c r="S66" s="7">
        <f t="shared" si="76"/>
        <v>37083</v>
      </c>
      <c r="T66" s="7">
        <f t="shared" si="76"/>
        <v>38609</v>
      </c>
      <c r="U66" s="7">
        <f t="shared" si="76"/>
        <v>38161</v>
      </c>
      <c r="V66" s="7">
        <f t="shared" si="76"/>
        <v>40883</v>
      </c>
      <c r="W66" s="7">
        <f t="shared" si="76"/>
        <v>42825</v>
      </c>
      <c r="X66" s="7">
        <f t="shared" si="76"/>
        <v>43906</v>
      </c>
      <c r="Y66" s="7">
        <f t="shared" si="76"/>
        <v>44169</v>
      </c>
      <c r="Z66" s="7">
        <f t="shared" si="76"/>
        <v>45441</v>
      </c>
      <c r="AA66" s="7">
        <f t="shared" si="76"/>
        <v>45086.46</v>
      </c>
      <c r="AB66" s="7">
        <f t="shared" si="76"/>
        <v>45822.07</v>
      </c>
      <c r="AC66" s="7">
        <f t="shared" si="76"/>
        <v>46004.59</v>
      </c>
      <c r="AD66" s="7">
        <f t="shared" si="76"/>
        <v>46968.549999999996</v>
      </c>
      <c r="AE66" s="7">
        <f t="shared" ref="AE66:AF66" si="77">AE51+AE56+AE61</f>
        <v>45393.566000000006</v>
      </c>
      <c r="AF66" s="7">
        <f t="shared" si="77"/>
        <v>45805.101999999999</v>
      </c>
      <c r="AG66" s="7">
        <f t="shared" si="76"/>
        <v>45452.785000000003</v>
      </c>
      <c r="AH66" s="7">
        <f t="shared" ref="AH66:AK66" si="78">AH51+AH56+AH61</f>
        <v>46111.59</v>
      </c>
      <c r="AI66" s="7">
        <f t="shared" ref="AI66:AJ66" si="79">AI51+AI56+AI61</f>
        <v>46790.400000000001</v>
      </c>
      <c r="AJ66" s="7">
        <f t="shared" si="79"/>
        <v>49255</v>
      </c>
      <c r="AK66" s="7">
        <f t="shared" si="78"/>
        <v>50926</v>
      </c>
      <c r="AL66" s="7"/>
    </row>
    <row r="67" spans="1:38">
      <c r="A67" s="70" t="s">
        <v>1</v>
      </c>
      <c r="B67" s="70"/>
      <c r="C67" s="70"/>
      <c r="D67" s="7"/>
      <c r="E67" s="7"/>
      <c r="F67" s="7">
        <f t="shared" ref="F67:AG67" si="80">F52+F57+F62</f>
        <v>18064</v>
      </c>
      <c r="G67" s="7">
        <f t="shared" si="80"/>
        <v>16171</v>
      </c>
      <c r="H67" s="7">
        <f t="shared" si="80"/>
        <v>16099</v>
      </c>
      <c r="I67" s="7">
        <f t="shared" si="80"/>
        <v>16783</v>
      </c>
      <c r="J67" s="7">
        <f t="shared" si="80"/>
        <v>18698</v>
      </c>
      <c r="K67" s="7">
        <f t="shared" si="80"/>
        <v>18518</v>
      </c>
      <c r="L67" s="7">
        <f t="shared" si="80"/>
        <v>17961</v>
      </c>
      <c r="M67" s="7">
        <f t="shared" si="80"/>
        <v>19590</v>
      </c>
      <c r="N67" s="7">
        <f t="shared" si="80"/>
        <v>19408</v>
      </c>
      <c r="O67" s="7">
        <f t="shared" si="80"/>
        <v>19240</v>
      </c>
      <c r="P67" s="7">
        <f t="shared" si="80"/>
        <v>19854</v>
      </c>
      <c r="Q67" s="7">
        <f t="shared" si="80"/>
        <v>17786</v>
      </c>
      <c r="R67" s="7">
        <f t="shared" si="80"/>
        <v>17710</v>
      </c>
      <c r="S67" s="7">
        <f t="shared" si="80"/>
        <v>17696</v>
      </c>
      <c r="T67" s="7">
        <f t="shared" si="80"/>
        <v>18761</v>
      </c>
      <c r="U67" s="7">
        <f t="shared" si="80"/>
        <v>18937</v>
      </c>
      <c r="V67" s="7">
        <f t="shared" si="80"/>
        <v>19209</v>
      </c>
      <c r="W67" s="7">
        <f t="shared" si="80"/>
        <v>19197</v>
      </c>
      <c r="X67" s="7">
        <f t="shared" si="80"/>
        <v>19763</v>
      </c>
      <c r="Y67" s="7">
        <f t="shared" si="80"/>
        <v>19108</v>
      </c>
      <c r="Z67" s="7">
        <f t="shared" si="80"/>
        <v>19317</v>
      </c>
      <c r="AA67" s="7">
        <f t="shared" si="80"/>
        <v>19525.370000000003</v>
      </c>
      <c r="AB67" s="7">
        <f t="shared" si="80"/>
        <v>19776.18</v>
      </c>
      <c r="AC67" s="7">
        <f t="shared" si="80"/>
        <v>19759.349999999999</v>
      </c>
      <c r="AD67" s="7">
        <f t="shared" si="80"/>
        <v>19553.86</v>
      </c>
      <c r="AE67" s="7">
        <f t="shared" ref="AE67:AF67" si="81">AE52+AE57+AE62</f>
        <v>18547.64</v>
      </c>
      <c r="AF67" s="7">
        <f t="shared" si="81"/>
        <v>19052.84</v>
      </c>
      <c r="AG67" s="7">
        <f t="shared" si="80"/>
        <v>19223.96</v>
      </c>
      <c r="AH67" s="7">
        <f t="shared" ref="AH67:AK67" si="82">AH52+AH57+AH62</f>
        <v>20302.32</v>
      </c>
      <c r="AI67" s="7">
        <f t="shared" ref="AI67:AJ67" si="83">AI52+AI57+AI62</f>
        <v>20818.04</v>
      </c>
      <c r="AJ67" s="7">
        <f t="shared" si="83"/>
        <v>20675</v>
      </c>
      <c r="AK67" s="7">
        <f t="shared" si="82"/>
        <v>21169</v>
      </c>
      <c r="AL67" s="7"/>
    </row>
    <row r="68" spans="1:38">
      <c r="A68" s="70" t="s">
        <v>2</v>
      </c>
      <c r="B68" s="70"/>
      <c r="C68" s="70"/>
      <c r="D68" s="7"/>
      <c r="E68" s="7"/>
      <c r="F68" s="7">
        <f t="shared" ref="F68:AG68" si="84">F53+F58+F63</f>
        <v>15764</v>
      </c>
      <c r="G68" s="7">
        <f t="shared" si="84"/>
        <v>14802</v>
      </c>
      <c r="H68" s="7">
        <f t="shared" si="84"/>
        <v>14989</v>
      </c>
      <c r="I68" s="7">
        <f t="shared" si="84"/>
        <v>13790</v>
      </c>
      <c r="J68" s="7">
        <f t="shared" si="84"/>
        <v>14887</v>
      </c>
      <c r="K68" s="7">
        <f t="shared" si="84"/>
        <v>14730</v>
      </c>
      <c r="L68" s="7">
        <f t="shared" si="84"/>
        <v>14908</v>
      </c>
      <c r="M68" s="7">
        <f t="shared" si="84"/>
        <v>16275</v>
      </c>
      <c r="N68" s="7">
        <f t="shared" si="84"/>
        <v>15610</v>
      </c>
      <c r="O68" s="7">
        <f t="shared" si="84"/>
        <v>16239</v>
      </c>
      <c r="P68" s="7">
        <f t="shared" si="84"/>
        <v>17311</v>
      </c>
      <c r="Q68" s="7">
        <f t="shared" si="84"/>
        <v>17116</v>
      </c>
      <c r="R68" s="7">
        <f t="shared" si="84"/>
        <v>15789</v>
      </c>
      <c r="S68" s="7">
        <f t="shared" si="84"/>
        <v>16172</v>
      </c>
      <c r="T68" s="7">
        <f t="shared" si="84"/>
        <v>16182</v>
      </c>
      <c r="U68" s="7">
        <f t="shared" si="84"/>
        <v>15367</v>
      </c>
      <c r="V68" s="7">
        <f t="shared" si="84"/>
        <v>17491</v>
      </c>
      <c r="W68" s="7">
        <f t="shared" si="84"/>
        <v>17903</v>
      </c>
      <c r="X68" s="7">
        <f t="shared" si="84"/>
        <v>18578</v>
      </c>
      <c r="Y68" s="7">
        <f t="shared" si="84"/>
        <v>18419</v>
      </c>
      <c r="Z68" s="7">
        <f t="shared" si="84"/>
        <v>18920</v>
      </c>
      <c r="AA68" s="7">
        <f t="shared" si="84"/>
        <v>18724.84</v>
      </c>
      <c r="AB68" s="7">
        <f t="shared" si="84"/>
        <v>19378.64</v>
      </c>
      <c r="AC68" s="7">
        <f t="shared" si="84"/>
        <v>19687.989999999998</v>
      </c>
      <c r="AD68" s="7">
        <f t="shared" si="84"/>
        <v>20295.39</v>
      </c>
      <c r="AE68" s="7">
        <f t="shared" ref="AE68:AF68" si="85">AE53+AE58+AE63</f>
        <v>19628.79</v>
      </c>
      <c r="AF68" s="7">
        <f t="shared" si="85"/>
        <v>20040.919999999998</v>
      </c>
      <c r="AG68" s="7">
        <f t="shared" si="84"/>
        <v>19921.59</v>
      </c>
      <c r="AH68" s="7">
        <f t="shared" ref="AH68:AK68" si="86">AH53+AH58+AH63</f>
        <v>19823.3</v>
      </c>
      <c r="AI68" s="7">
        <f t="shared" ref="AI68:AJ68" si="87">AI53+AI58+AI63</f>
        <v>19673.400000000001</v>
      </c>
      <c r="AJ68" s="7">
        <f t="shared" si="87"/>
        <v>21573</v>
      </c>
      <c r="AK68" s="7">
        <f t="shared" si="86"/>
        <v>22546</v>
      </c>
      <c r="AL68" s="7"/>
    </row>
    <row r="69" spans="1:38">
      <c r="A69" s="70" t="s">
        <v>22</v>
      </c>
      <c r="B69" s="70"/>
      <c r="C69" s="70"/>
      <c r="D69" s="7"/>
      <c r="E69" s="7"/>
      <c r="F69" s="7">
        <f t="shared" ref="F69:AG69" si="88">F54+F59+F64</f>
        <v>2426</v>
      </c>
      <c r="G69" s="7">
        <f t="shared" si="88"/>
        <v>2438</v>
      </c>
      <c r="H69" s="7">
        <f t="shared" si="88"/>
        <v>2296</v>
      </c>
      <c r="I69" s="7">
        <f t="shared" si="88"/>
        <v>2604</v>
      </c>
      <c r="J69" s="7">
        <f t="shared" si="88"/>
        <v>2372</v>
      </c>
      <c r="K69" s="7">
        <f t="shared" si="88"/>
        <v>2223</v>
      </c>
      <c r="L69" s="7">
        <f t="shared" si="88"/>
        <v>2134</v>
      </c>
      <c r="M69" s="7">
        <f t="shared" si="88"/>
        <v>2079</v>
      </c>
      <c r="N69" s="7">
        <f t="shared" si="88"/>
        <v>2153</v>
      </c>
      <c r="O69" s="7">
        <f t="shared" si="88"/>
        <v>2804</v>
      </c>
      <c r="P69" s="7">
        <f t="shared" si="88"/>
        <v>3247</v>
      </c>
      <c r="Q69" s="7">
        <f t="shared" si="88"/>
        <v>3498</v>
      </c>
      <c r="R69" s="7">
        <f t="shared" si="88"/>
        <v>3328</v>
      </c>
      <c r="S69" s="7">
        <f t="shared" si="88"/>
        <v>3215</v>
      </c>
      <c r="T69" s="7">
        <f t="shared" si="88"/>
        <v>3666</v>
      </c>
      <c r="U69" s="7">
        <f t="shared" si="88"/>
        <v>3857</v>
      </c>
      <c r="V69" s="7">
        <f t="shared" si="88"/>
        <v>4183</v>
      </c>
      <c r="W69" s="7">
        <f t="shared" si="88"/>
        <v>5725</v>
      </c>
      <c r="X69" s="7">
        <f t="shared" si="88"/>
        <v>5565</v>
      </c>
      <c r="Y69" s="7">
        <f t="shared" si="88"/>
        <v>6642</v>
      </c>
      <c r="Z69" s="7">
        <f t="shared" si="88"/>
        <v>7204</v>
      </c>
      <c r="AA69" s="7">
        <f t="shared" si="88"/>
        <v>6836.25</v>
      </c>
      <c r="AB69" s="7">
        <f t="shared" si="88"/>
        <v>6667.25</v>
      </c>
      <c r="AC69" s="7">
        <f t="shared" si="88"/>
        <v>6557.25</v>
      </c>
      <c r="AD69" s="7">
        <f t="shared" si="88"/>
        <v>7119.3</v>
      </c>
      <c r="AE69" s="7">
        <f t="shared" ref="AE69:AF69" si="89">AE54+AE59+AE64</f>
        <v>7217.1360000000004</v>
      </c>
      <c r="AF69" s="7">
        <f t="shared" si="89"/>
        <v>6711.3420000000006</v>
      </c>
      <c r="AG69" s="7">
        <f t="shared" si="88"/>
        <v>6307.2350000000006</v>
      </c>
      <c r="AH69" s="7">
        <f t="shared" ref="AH69:AK69" si="90">AH54+AH59+AH64</f>
        <v>5985.9699999999993</v>
      </c>
      <c r="AI69" s="7">
        <f t="shared" ref="AI69:AJ69" si="91">AI54+AI59+AI64</f>
        <v>6298.96</v>
      </c>
      <c r="AJ69" s="7">
        <f t="shared" si="91"/>
        <v>7007</v>
      </c>
      <c r="AK69" s="7">
        <f t="shared" si="90"/>
        <v>7211</v>
      </c>
      <c r="AL69" s="7"/>
    </row>
    <row r="70" spans="1:38">
      <c r="A70" s="8"/>
      <c r="B70" s="8"/>
      <c r="C70" s="8"/>
      <c r="D70" s="8"/>
      <c r="E70" s="8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38" ht="13.5" hidden="1" thickBot="1">
      <c r="A71" s="25" t="s">
        <v>12</v>
      </c>
      <c r="B71" s="25"/>
      <c r="C71" s="25"/>
      <c r="D71" s="26"/>
      <c r="E71" s="26"/>
      <c r="F71" s="26" t="s">
        <v>13</v>
      </c>
      <c r="G71" s="26" t="s">
        <v>14</v>
      </c>
      <c r="H71" s="26" t="s">
        <v>15</v>
      </c>
      <c r="I71" s="26" t="s">
        <v>16</v>
      </c>
      <c r="J71" s="26" t="s">
        <v>21</v>
      </c>
      <c r="K71" s="26" t="s">
        <v>23</v>
      </c>
      <c r="L71" s="26" t="s">
        <v>24</v>
      </c>
      <c r="M71" s="26" t="s">
        <v>38</v>
      </c>
      <c r="N71" s="26" t="s">
        <v>44</v>
      </c>
      <c r="O71" s="26" t="s">
        <v>45</v>
      </c>
      <c r="P71" s="26" t="s">
        <v>46</v>
      </c>
      <c r="Q71" s="26" t="s">
        <v>50</v>
      </c>
      <c r="R71" s="27" t="s">
        <v>53</v>
      </c>
      <c r="S71" s="27" t="s">
        <v>55</v>
      </c>
      <c r="T71" s="27" t="s">
        <v>58</v>
      </c>
      <c r="U71" s="27" t="s">
        <v>60</v>
      </c>
      <c r="V71" s="27" t="s">
        <v>63</v>
      </c>
      <c r="W71" s="27" t="s">
        <v>65</v>
      </c>
      <c r="X71" s="27" t="s">
        <v>67</v>
      </c>
      <c r="Y71" s="27" t="s">
        <v>69</v>
      </c>
      <c r="Z71" s="27" t="s">
        <v>69</v>
      </c>
      <c r="AA71" s="27" t="s">
        <v>69</v>
      </c>
      <c r="AB71" s="27" t="s">
        <v>69</v>
      </c>
      <c r="AC71" s="27" t="s">
        <v>69</v>
      </c>
      <c r="AD71" s="27" t="s">
        <v>69</v>
      </c>
      <c r="AE71" s="27" t="s">
        <v>69</v>
      </c>
      <c r="AF71" s="27" t="s">
        <v>69</v>
      </c>
      <c r="AG71" s="27" t="s">
        <v>69</v>
      </c>
      <c r="AH71" s="190"/>
      <c r="AI71" s="190"/>
      <c r="AJ71" s="190"/>
      <c r="AK71" s="190"/>
      <c r="AL71" s="190"/>
    </row>
    <row r="72" spans="1:38" hidden="1">
      <c r="A72" s="16" t="s">
        <v>6</v>
      </c>
      <c r="B72" s="7"/>
      <c r="C72" s="7"/>
      <c r="D72" s="7"/>
      <c r="E72" s="7"/>
      <c r="F72" s="7">
        <f t="shared" ref="F72:AG72" si="92">F73+F78+F83</f>
        <v>46193</v>
      </c>
      <c r="G72" s="7">
        <f t="shared" si="92"/>
        <v>45311</v>
      </c>
      <c r="H72" s="7">
        <f t="shared" si="92"/>
        <v>46248</v>
      </c>
      <c r="I72" s="7">
        <f t="shared" si="92"/>
        <v>46461</v>
      </c>
      <c r="J72" s="7">
        <f t="shared" si="92"/>
        <v>46329</v>
      </c>
      <c r="K72" s="7">
        <f t="shared" si="92"/>
        <v>45930</v>
      </c>
      <c r="L72" s="7">
        <f t="shared" si="92"/>
        <v>48190</v>
      </c>
      <c r="M72" s="7">
        <f t="shared" si="92"/>
        <v>48488</v>
      </c>
      <c r="N72" s="7">
        <f t="shared" si="92"/>
        <v>49112</v>
      </c>
      <c r="O72" s="7">
        <f t="shared" si="92"/>
        <v>50996</v>
      </c>
      <c r="P72" s="7">
        <f t="shared" si="92"/>
        <v>48656</v>
      </c>
      <c r="Q72" s="7">
        <f t="shared" si="92"/>
        <v>40539</v>
      </c>
      <c r="R72" s="23">
        <f t="shared" si="92"/>
        <v>0</v>
      </c>
      <c r="S72" s="23">
        <f t="shared" si="92"/>
        <v>0</v>
      </c>
      <c r="T72" s="23">
        <f t="shared" si="92"/>
        <v>0</v>
      </c>
      <c r="U72" s="23">
        <f t="shared" si="92"/>
        <v>0</v>
      </c>
      <c r="V72" s="23">
        <f t="shared" si="92"/>
        <v>0</v>
      </c>
      <c r="W72" s="23">
        <f t="shared" si="92"/>
        <v>0</v>
      </c>
      <c r="X72" s="23">
        <f t="shared" si="92"/>
        <v>0</v>
      </c>
      <c r="Y72" s="23">
        <f t="shared" si="92"/>
        <v>0</v>
      </c>
      <c r="Z72" s="23">
        <f t="shared" si="92"/>
        <v>0</v>
      </c>
      <c r="AA72" s="23">
        <f t="shared" si="92"/>
        <v>0</v>
      </c>
      <c r="AB72" s="23">
        <f t="shared" si="92"/>
        <v>0</v>
      </c>
      <c r="AC72" s="23">
        <f t="shared" si="92"/>
        <v>0</v>
      </c>
      <c r="AD72" s="23">
        <f t="shared" si="92"/>
        <v>0</v>
      </c>
      <c r="AE72" s="23">
        <f t="shared" ref="AE72:AF72" si="93">AE73+AE78+AE83</f>
        <v>0</v>
      </c>
      <c r="AF72" s="23">
        <f t="shared" si="93"/>
        <v>0</v>
      </c>
      <c r="AG72" s="23">
        <f t="shared" si="92"/>
        <v>0</v>
      </c>
      <c r="AH72" s="23"/>
      <c r="AI72" s="23"/>
      <c r="AJ72" s="23"/>
      <c r="AK72" s="23"/>
      <c r="AL72" s="23"/>
    </row>
    <row r="73" spans="1:38" hidden="1">
      <c r="A73" s="7" t="s">
        <v>17</v>
      </c>
      <c r="B73" s="7"/>
      <c r="C73" s="7"/>
      <c r="D73" s="7"/>
      <c r="E73" s="7"/>
      <c r="F73" s="7">
        <f t="shared" ref="F73:AG73" si="94">F74+F75+F76</f>
        <v>4628</v>
      </c>
      <c r="G73" s="7">
        <f t="shared" si="94"/>
        <v>4638</v>
      </c>
      <c r="H73" s="7">
        <f t="shared" si="94"/>
        <v>4682</v>
      </c>
      <c r="I73" s="7">
        <f t="shared" si="94"/>
        <v>4690</v>
      </c>
      <c r="J73" s="7">
        <f t="shared" si="94"/>
        <v>4776</v>
      </c>
      <c r="K73" s="7">
        <f t="shared" si="94"/>
        <v>4501</v>
      </c>
      <c r="L73" s="7">
        <f t="shared" si="94"/>
        <v>4406</v>
      </c>
      <c r="M73" s="7">
        <f t="shared" si="94"/>
        <v>4976</v>
      </c>
      <c r="N73" s="7">
        <f t="shared" si="94"/>
        <v>4742</v>
      </c>
      <c r="O73" s="7">
        <f t="shared" si="94"/>
        <v>5217</v>
      </c>
      <c r="P73" s="7">
        <f t="shared" si="94"/>
        <v>5079</v>
      </c>
      <c r="Q73" s="7">
        <f t="shared" si="94"/>
        <v>4566</v>
      </c>
      <c r="R73" s="23">
        <f t="shared" si="94"/>
        <v>0</v>
      </c>
      <c r="S73" s="23">
        <f t="shared" si="94"/>
        <v>0</v>
      </c>
      <c r="T73" s="23">
        <f t="shared" si="94"/>
        <v>0</v>
      </c>
      <c r="U73" s="23">
        <f t="shared" si="94"/>
        <v>0</v>
      </c>
      <c r="V73" s="23">
        <f t="shared" si="94"/>
        <v>0</v>
      </c>
      <c r="W73" s="23">
        <f t="shared" si="94"/>
        <v>0</v>
      </c>
      <c r="X73" s="23">
        <f t="shared" si="94"/>
        <v>0</v>
      </c>
      <c r="Y73" s="23">
        <f t="shared" si="94"/>
        <v>0</v>
      </c>
      <c r="Z73" s="23">
        <f t="shared" si="94"/>
        <v>0</v>
      </c>
      <c r="AA73" s="23">
        <f t="shared" si="94"/>
        <v>0</v>
      </c>
      <c r="AB73" s="23">
        <f t="shared" si="94"/>
        <v>0</v>
      </c>
      <c r="AC73" s="23">
        <f t="shared" si="94"/>
        <v>0</v>
      </c>
      <c r="AD73" s="23">
        <f t="shared" si="94"/>
        <v>0</v>
      </c>
      <c r="AE73" s="23">
        <f t="shared" ref="AE73:AF73" si="95">AE74+AE75+AE76</f>
        <v>0</v>
      </c>
      <c r="AF73" s="23">
        <f t="shared" si="95"/>
        <v>0</v>
      </c>
      <c r="AG73" s="23">
        <f t="shared" si="94"/>
        <v>0</v>
      </c>
      <c r="AH73" s="23"/>
      <c r="AI73" s="23"/>
      <c r="AJ73" s="23"/>
      <c r="AK73" s="23"/>
      <c r="AL73" s="23"/>
    </row>
    <row r="74" spans="1:38" hidden="1">
      <c r="A74" s="6" t="s">
        <v>1</v>
      </c>
      <c r="B74" s="6"/>
      <c r="C74" s="6"/>
      <c r="D74" s="6"/>
      <c r="E74" s="6"/>
      <c r="F74" s="9">
        <v>1041</v>
      </c>
      <c r="G74" s="9">
        <f>633+5</f>
        <v>638</v>
      </c>
      <c r="H74" s="9">
        <f>756+17</f>
        <v>773</v>
      </c>
      <c r="I74" s="9">
        <f>886+6</f>
        <v>892</v>
      </c>
      <c r="J74" s="9">
        <v>866</v>
      </c>
      <c r="K74" s="9">
        <v>563</v>
      </c>
      <c r="L74" s="9">
        <v>737</v>
      </c>
      <c r="M74" s="9">
        <v>645</v>
      </c>
      <c r="N74" s="9">
        <v>871</v>
      </c>
      <c r="O74" s="9">
        <v>937</v>
      </c>
      <c r="P74" s="9">
        <v>1268</v>
      </c>
      <c r="Q74" s="9">
        <v>951</v>
      </c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</row>
    <row r="75" spans="1:38" hidden="1">
      <c r="A75" s="6" t="s">
        <v>2</v>
      </c>
      <c r="B75" s="6"/>
      <c r="C75" s="6"/>
      <c r="D75" s="6"/>
      <c r="E75" s="6"/>
      <c r="F75" s="9">
        <v>1603</v>
      </c>
      <c r="G75" s="9">
        <f>1263+483</f>
        <v>1746</v>
      </c>
      <c r="H75" s="9">
        <f>1197+540</f>
        <v>1737</v>
      </c>
      <c r="I75" s="9">
        <f>947+581</f>
        <v>1528</v>
      </c>
      <c r="J75" s="9">
        <f>1205+430</f>
        <v>1635</v>
      </c>
      <c r="K75" s="9">
        <v>1811</v>
      </c>
      <c r="L75" s="9">
        <v>1786</v>
      </c>
      <c r="M75" s="9">
        <v>2089</v>
      </c>
      <c r="N75" s="9">
        <v>2319</v>
      </c>
      <c r="O75" s="9">
        <v>2266</v>
      </c>
      <c r="P75" s="9">
        <v>1942</v>
      </c>
      <c r="Q75" s="9">
        <v>1931</v>
      </c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</row>
    <row r="76" spans="1:38" hidden="1">
      <c r="A76" s="6" t="s">
        <v>22</v>
      </c>
      <c r="B76" s="6"/>
      <c r="C76" s="6"/>
      <c r="D76" s="6"/>
      <c r="E76" s="6"/>
      <c r="F76" s="9">
        <v>1984</v>
      </c>
      <c r="G76" s="9">
        <v>2254</v>
      </c>
      <c r="H76" s="9">
        <v>2172</v>
      </c>
      <c r="I76" s="9">
        <v>2270</v>
      </c>
      <c r="J76" s="9">
        <v>2275</v>
      </c>
      <c r="K76" s="9">
        <v>2127</v>
      </c>
      <c r="L76" s="9">
        <v>1883</v>
      </c>
      <c r="M76" s="9">
        <v>2242</v>
      </c>
      <c r="N76" s="9">
        <v>1552</v>
      </c>
      <c r="O76" s="9">
        <v>2014</v>
      </c>
      <c r="P76" s="9">
        <v>1869</v>
      </c>
      <c r="Q76" s="9">
        <v>1684</v>
      </c>
      <c r="R76" s="24">
        <v>0</v>
      </c>
      <c r="S76" s="24">
        <v>0</v>
      </c>
      <c r="T76" s="24">
        <v>0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4">
        <v>0</v>
      </c>
      <c r="AA76" s="24">
        <v>0</v>
      </c>
      <c r="AB76" s="24">
        <v>0</v>
      </c>
      <c r="AC76" s="24">
        <v>0</v>
      </c>
      <c r="AD76" s="24">
        <v>0</v>
      </c>
      <c r="AE76" s="24">
        <v>0</v>
      </c>
      <c r="AF76" s="24">
        <v>0</v>
      </c>
      <c r="AG76" s="24">
        <v>0</v>
      </c>
      <c r="AH76" s="24"/>
      <c r="AI76" s="24"/>
      <c r="AJ76" s="24"/>
      <c r="AK76" s="24"/>
      <c r="AL76" s="24"/>
    </row>
    <row r="77" spans="1:38" hidden="1">
      <c r="A77" s="6"/>
      <c r="B77" s="6"/>
      <c r="C77" s="6"/>
      <c r="D77" s="6"/>
      <c r="E77" s="6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</row>
    <row r="78" spans="1:38" hidden="1">
      <c r="A78" s="7" t="s">
        <v>18</v>
      </c>
      <c r="B78" s="7"/>
      <c r="C78" s="7"/>
      <c r="D78" s="7"/>
      <c r="E78" s="7"/>
      <c r="F78" s="7">
        <f t="shared" ref="F78:AG78" si="96">F79+F80+F81</f>
        <v>20694</v>
      </c>
      <c r="G78" s="7">
        <f t="shared" si="96"/>
        <v>20032</v>
      </c>
      <c r="H78" s="7">
        <f t="shared" si="96"/>
        <v>20374</v>
      </c>
      <c r="I78" s="7">
        <f t="shared" si="96"/>
        <v>20774</v>
      </c>
      <c r="J78" s="7">
        <f t="shared" si="96"/>
        <v>20340</v>
      </c>
      <c r="K78" s="7">
        <f t="shared" si="96"/>
        <v>20214</v>
      </c>
      <c r="L78" s="7">
        <f t="shared" si="96"/>
        <v>21302</v>
      </c>
      <c r="M78" s="7">
        <f t="shared" si="96"/>
        <v>21582</v>
      </c>
      <c r="N78" s="7">
        <f t="shared" si="96"/>
        <v>21667</v>
      </c>
      <c r="O78" s="7">
        <f t="shared" si="96"/>
        <v>23048</v>
      </c>
      <c r="P78" s="7">
        <f t="shared" si="96"/>
        <v>21307</v>
      </c>
      <c r="Q78" s="7">
        <f t="shared" si="96"/>
        <v>17584</v>
      </c>
      <c r="R78" s="23">
        <f t="shared" si="96"/>
        <v>0</v>
      </c>
      <c r="S78" s="23">
        <f t="shared" si="96"/>
        <v>0</v>
      </c>
      <c r="T78" s="23">
        <f t="shared" si="96"/>
        <v>0</v>
      </c>
      <c r="U78" s="23">
        <f t="shared" si="96"/>
        <v>0</v>
      </c>
      <c r="V78" s="23">
        <f t="shared" si="96"/>
        <v>0</v>
      </c>
      <c r="W78" s="23">
        <f t="shared" si="96"/>
        <v>0</v>
      </c>
      <c r="X78" s="23">
        <f t="shared" si="96"/>
        <v>0</v>
      </c>
      <c r="Y78" s="23">
        <f t="shared" si="96"/>
        <v>0</v>
      </c>
      <c r="Z78" s="23">
        <f t="shared" si="96"/>
        <v>0</v>
      </c>
      <c r="AA78" s="23">
        <f t="shared" si="96"/>
        <v>0</v>
      </c>
      <c r="AB78" s="23">
        <f t="shared" si="96"/>
        <v>0</v>
      </c>
      <c r="AC78" s="23">
        <f t="shared" si="96"/>
        <v>0</v>
      </c>
      <c r="AD78" s="23">
        <f t="shared" si="96"/>
        <v>0</v>
      </c>
      <c r="AE78" s="23">
        <f t="shared" ref="AE78:AF78" si="97">AE79+AE80+AE81</f>
        <v>0</v>
      </c>
      <c r="AF78" s="23">
        <f t="shared" si="97"/>
        <v>0</v>
      </c>
      <c r="AG78" s="23">
        <f t="shared" si="96"/>
        <v>0</v>
      </c>
      <c r="AH78" s="23"/>
      <c r="AI78" s="23"/>
      <c r="AJ78" s="23"/>
      <c r="AK78" s="23"/>
      <c r="AL78" s="23"/>
    </row>
    <row r="79" spans="1:38" hidden="1">
      <c r="A79" s="6" t="s">
        <v>1</v>
      </c>
      <c r="B79" s="6"/>
      <c r="C79" s="6"/>
      <c r="D79" s="6"/>
      <c r="E79" s="6"/>
      <c r="F79" s="9">
        <v>8572</v>
      </c>
      <c r="G79" s="9">
        <f>7605+231</f>
        <v>7836</v>
      </c>
      <c r="H79" s="9">
        <f>7860+214</f>
        <v>8074</v>
      </c>
      <c r="I79" s="9">
        <f>8505+199</f>
        <v>8704</v>
      </c>
      <c r="J79" s="9">
        <f>7931+248</f>
        <v>8179</v>
      </c>
      <c r="K79" s="9">
        <v>8222</v>
      </c>
      <c r="L79" s="9">
        <v>8635</v>
      </c>
      <c r="M79" s="9">
        <v>8136</v>
      </c>
      <c r="N79" s="9">
        <v>8657</v>
      </c>
      <c r="O79" s="9">
        <v>9134</v>
      </c>
      <c r="P79" s="9">
        <v>7816</v>
      </c>
      <c r="Q79" s="9">
        <v>6225</v>
      </c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</row>
    <row r="80" spans="1:38" hidden="1">
      <c r="A80" s="6" t="s">
        <v>2</v>
      </c>
      <c r="B80" s="6"/>
      <c r="C80" s="6"/>
      <c r="D80" s="6"/>
      <c r="E80" s="6"/>
      <c r="F80" s="9">
        <v>9774</v>
      </c>
      <c r="G80" s="9">
        <f>7354+2350</f>
        <v>9704</v>
      </c>
      <c r="H80" s="9">
        <f>6901+2897</f>
        <v>9798</v>
      </c>
      <c r="I80" s="9">
        <f>7080+2414</f>
        <v>9494</v>
      </c>
      <c r="J80" s="9">
        <f>7776+1977</f>
        <v>9753</v>
      </c>
      <c r="K80" s="9">
        <v>9590</v>
      </c>
      <c r="L80" s="9">
        <v>9606</v>
      </c>
      <c r="M80" s="9">
        <v>10460</v>
      </c>
      <c r="N80" s="9">
        <v>10218</v>
      </c>
      <c r="O80" s="9">
        <v>11025</v>
      </c>
      <c r="P80" s="9">
        <v>10382</v>
      </c>
      <c r="Q80" s="9">
        <v>8902</v>
      </c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</row>
    <row r="81" spans="1:38" hidden="1">
      <c r="A81" s="6" t="s">
        <v>22</v>
      </c>
      <c r="B81" s="6"/>
      <c r="C81" s="6"/>
      <c r="D81" s="6"/>
      <c r="E81" s="6"/>
      <c r="F81" s="9">
        <v>2348</v>
      </c>
      <c r="G81" s="9">
        <v>2492</v>
      </c>
      <c r="H81" s="9">
        <v>2502</v>
      </c>
      <c r="I81" s="9">
        <v>2576</v>
      </c>
      <c r="J81" s="9">
        <v>2408</v>
      </c>
      <c r="K81" s="9">
        <v>2402</v>
      </c>
      <c r="L81" s="9">
        <v>3061</v>
      </c>
      <c r="M81" s="9">
        <v>2986</v>
      </c>
      <c r="N81" s="9">
        <v>2792</v>
      </c>
      <c r="O81" s="9">
        <v>2889</v>
      </c>
      <c r="P81" s="9">
        <v>3109</v>
      </c>
      <c r="Q81" s="9">
        <v>2457</v>
      </c>
      <c r="R81" s="24">
        <v>0</v>
      </c>
      <c r="S81" s="24">
        <v>0</v>
      </c>
      <c r="T81" s="24">
        <v>0</v>
      </c>
      <c r="U81" s="24">
        <v>0</v>
      </c>
      <c r="V81" s="24">
        <v>0</v>
      </c>
      <c r="W81" s="24">
        <v>0</v>
      </c>
      <c r="X81" s="24">
        <v>0</v>
      </c>
      <c r="Y81" s="24">
        <v>0</v>
      </c>
      <c r="Z81" s="24">
        <v>0</v>
      </c>
      <c r="AA81" s="24">
        <v>0</v>
      </c>
      <c r="AB81" s="24">
        <v>0</v>
      </c>
      <c r="AC81" s="24">
        <v>0</v>
      </c>
      <c r="AD81" s="24">
        <v>0</v>
      </c>
      <c r="AE81" s="24">
        <v>0</v>
      </c>
      <c r="AF81" s="24">
        <v>0</v>
      </c>
      <c r="AG81" s="24">
        <v>0</v>
      </c>
      <c r="AH81" s="24"/>
      <c r="AI81" s="24"/>
      <c r="AJ81" s="24"/>
      <c r="AK81" s="24"/>
      <c r="AL81" s="24"/>
    </row>
    <row r="82" spans="1:38" hidden="1">
      <c r="A82" s="6"/>
      <c r="B82" s="6"/>
      <c r="C82" s="6"/>
      <c r="D82" s="6"/>
      <c r="E82" s="6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</row>
    <row r="83" spans="1:38" hidden="1">
      <c r="A83" s="7" t="s">
        <v>19</v>
      </c>
      <c r="B83" s="7"/>
      <c r="C83" s="7"/>
      <c r="D83" s="7"/>
      <c r="E83" s="7"/>
      <c r="F83" s="7">
        <f t="shared" ref="F83:AG83" si="98">F84+F85+F86</f>
        <v>20871</v>
      </c>
      <c r="G83" s="7">
        <f t="shared" si="98"/>
        <v>20641</v>
      </c>
      <c r="H83" s="7">
        <f t="shared" si="98"/>
        <v>21192</v>
      </c>
      <c r="I83" s="7">
        <f t="shared" si="98"/>
        <v>20997</v>
      </c>
      <c r="J83" s="7">
        <f t="shared" si="98"/>
        <v>21213</v>
      </c>
      <c r="K83" s="7">
        <f t="shared" si="98"/>
        <v>21215</v>
      </c>
      <c r="L83" s="7">
        <f t="shared" si="98"/>
        <v>22482</v>
      </c>
      <c r="M83" s="7">
        <f t="shared" si="98"/>
        <v>21930</v>
      </c>
      <c r="N83" s="7">
        <f t="shared" si="98"/>
        <v>22703</v>
      </c>
      <c r="O83" s="7">
        <f t="shared" si="98"/>
        <v>22731</v>
      </c>
      <c r="P83" s="7">
        <f t="shared" si="98"/>
        <v>22270</v>
      </c>
      <c r="Q83" s="7">
        <f t="shared" si="98"/>
        <v>18389</v>
      </c>
      <c r="R83" s="23">
        <f t="shared" si="98"/>
        <v>0</v>
      </c>
      <c r="S83" s="23">
        <f t="shared" si="98"/>
        <v>0</v>
      </c>
      <c r="T83" s="23">
        <f t="shared" si="98"/>
        <v>0</v>
      </c>
      <c r="U83" s="23">
        <f t="shared" si="98"/>
        <v>0</v>
      </c>
      <c r="V83" s="23">
        <f t="shared" si="98"/>
        <v>0</v>
      </c>
      <c r="W83" s="23">
        <f t="shared" si="98"/>
        <v>0</v>
      </c>
      <c r="X83" s="23">
        <f t="shared" si="98"/>
        <v>0</v>
      </c>
      <c r="Y83" s="23">
        <f t="shared" si="98"/>
        <v>0</v>
      </c>
      <c r="Z83" s="23">
        <f t="shared" si="98"/>
        <v>0</v>
      </c>
      <c r="AA83" s="23">
        <f t="shared" si="98"/>
        <v>0</v>
      </c>
      <c r="AB83" s="23">
        <f t="shared" si="98"/>
        <v>0</v>
      </c>
      <c r="AC83" s="23">
        <f t="shared" si="98"/>
        <v>0</v>
      </c>
      <c r="AD83" s="23">
        <f t="shared" si="98"/>
        <v>0</v>
      </c>
      <c r="AE83" s="23">
        <f t="shared" ref="AE83:AF83" si="99">AE84+AE85+AE86</f>
        <v>0</v>
      </c>
      <c r="AF83" s="23">
        <f t="shared" si="99"/>
        <v>0</v>
      </c>
      <c r="AG83" s="23">
        <f t="shared" si="98"/>
        <v>0</v>
      </c>
      <c r="AH83" s="23"/>
      <c r="AI83" s="23"/>
      <c r="AJ83" s="23"/>
      <c r="AK83" s="23"/>
      <c r="AL83" s="23"/>
    </row>
    <row r="84" spans="1:38" hidden="1">
      <c r="A84" s="6" t="s">
        <v>1</v>
      </c>
      <c r="B84" s="6"/>
      <c r="C84" s="6"/>
      <c r="D84" s="6"/>
      <c r="E84" s="6"/>
      <c r="F84" s="9">
        <v>7977</v>
      </c>
      <c r="G84" s="9">
        <f>7475+216</f>
        <v>7691</v>
      </c>
      <c r="H84" s="9">
        <f>8059+133</f>
        <v>8192</v>
      </c>
      <c r="I84" s="9">
        <f>7561+167</f>
        <v>7728</v>
      </c>
      <c r="J84" s="9">
        <v>7643</v>
      </c>
      <c r="K84" s="9">
        <v>8055</v>
      </c>
      <c r="L84" s="9">
        <v>8264</v>
      </c>
      <c r="M84" s="9">
        <v>7444</v>
      </c>
      <c r="N84" s="9">
        <v>8060</v>
      </c>
      <c r="O84" s="9">
        <v>8739</v>
      </c>
      <c r="P84" s="9">
        <v>7973</v>
      </c>
      <c r="Q84" s="9">
        <v>5634</v>
      </c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</row>
    <row r="85" spans="1:38" hidden="1">
      <c r="A85" s="6" t="s">
        <v>2</v>
      </c>
      <c r="B85" s="6"/>
      <c r="C85" s="6"/>
      <c r="D85" s="6"/>
      <c r="E85" s="6"/>
      <c r="F85" s="9">
        <v>10561</v>
      </c>
      <c r="G85" s="9">
        <f>7331+3036</f>
        <v>10367</v>
      </c>
      <c r="H85" s="9">
        <f>7380+2958</f>
        <v>10338</v>
      </c>
      <c r="I85" s="9">
        <f>7530+3036</f>
        <v>10566</v>
      </c>
      <c r="J85" s="9">
        <v>10938</v>
      </c>
      <c r="K85" s="9">
        <v>10910</v>
      </c>
      <c r="L85" s="9">
        <v>11202</v>
      </c>
      <c r="M85" s="9">
        <v>11514</v>
      </c>
      <c r="N85" s="9">
        <v>11642</v>
      </c>
      <c r="O85" s="9">
        <v>11118</v>
      </c>
      <c r="P85" s="9">
        <v>11343</v>
      </c>
      <c r="Q85" s="9">
        <v>10148</v>
      </c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</row>
    <row r="86" spans="1:38" hidden="1">
      <c r="A86" s="6" t="s">
        <v>22</v>
      </c>
      <c r="B86" s="6"/>
      <c r="C86" s="6"/>
      <c r="D86" s="6"/>
      <c r="E86" s="6"/>
      <c r="F86" s="9">
        <v>2333</v>
      </c>
      <c r="G86" s="9">
        <v>2583</v>
      </c>
      <c r="H86" s="9">
        <v>2662</v>
      </c>
      <c r="I86" s="9">
        <v>2703</v>
      </c>
      <c r="J86" s="9">
        <v>2632</v>
      </c>
      <c r="K86" s="9">
        <v>2250</v>
      </c>
      <c r="L86" s="9">
        <v>3016</v>
      </c>
      <c r="M86" s="9">
        <v>2972</v>
      </c>
      <c r="N86" s="9">
        <v>3001</v>
      </c>
      <c r="O86" s="9">
        <v>2874</v>
      </c>
      <c r="P86" s="9">
        <v>2954</v>
      </c>
      <c r="Q86" s="9">
        <v>2607</v>
      </c>
      <c r="R86" s="24">
        <v>0</v>
      </c>
      <c r="S86" s="24">
        <v>0</v>
      </c>
      <c r="T86" s="24">
        <v>0</v>
      </c>
      <c r="U86" s="24">
        <v>0</v>
      </c>
      <c r="V86" s="24">
        <v>0</v>
      </c>
      <c r="W86" s="24">
        <v>0</v>
      </c>
      <c r="X86" s="24">
        <v>0</v>
      </c>
      <c r="Y86" s="24">
        <v>0</v>
      </c>
      <c r="Z86" s="24">
        <v>0</v>
      </c>
      <c r="AA86" s="24">
        <v>0</v>
      </c>
      <c r="AB86" s="24">
        <v>0</v>
      </c>
      <c r="AC86" s="24">
        <v>0</v>
      </c>
      <c r="AD86" s="24">
        <v>0</v>
      </c>
      <c r="AE86" s="24">
        <v>0</v>
      </c>
      <c r="AF86" s="24">
        <v>0</v>
      </c>
      <c r="AG86" s="24">
        <v>0</v>
      </c>
      <c r="AH86" s="24"/>
      <c r="AI86" s="24"/>
      <c r="AJ86" s="24"/>
      <c r="AK86" s="24"/>
      <c r="AL86" s="24"/>
    </row>
    <row r="87" spans="1:38" hidden="1">
      <c r="A87" s="6"/>
      <c r="B87" s="6"/>
      <c r="C87" s="6"/>
      <c r="D87" s="6"/>
      <c r="E87" s="6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</row>
    <row r="88" spans="1:38" hidden="1">
      <c r="A88" s="7" t="s">
        <v>20</v>
      </c>
      <c r="B88" s="7"/>
      <c r="C88" s="7"/>
      <c r="D88" s="7"/>
      <c r="E88" s="7"/>
      <c r="F88" s="7">
        <f t="shared" ref="F88:AG88" si="100">F73+F78+F83</f>
        <v>46193</v>
      </c>
      <c r="G88" s="7">
        <f t="shared" si="100"/>
        <v>45311</v>
      </c>
      <c r="H88" s="7">
        <f t="shared" si="100"/>
        <v>46248</v>
      </c>
      <c r="I88" s="7">
        <f t="shared" si="100"/>
        <v>46461</v>
      </c>
      <c r="J88" s="7">
        <f t="shared" si="100"/>
        <v>46329</v>
      </c>
      <c r="K88" s="7">
        <f t="shared" si="100"/>
        <v>45930</v>
      </c>
      <c r="L88" s="7">
        <f t="shared" si="100"/>
        <v>48190</v>
      </c>
      <c r="M88" s="7">
        <f t="shared" si="100"/>
        <v>48488</v>
      </c>
      <c r="N88" s="7">
        <f t="shared" si="100"/>
        <v>49112</v>
      </c>
      <c r="O88" s="7">
        <f t="shared" si="100"/>
        <v>50996</v>
      </c>
      <c r="P88" s="7">
        <f t="shared" si="100"/>
        <v>48656</v>
      </c>
      <c r="Q88" s="7">
        <f t="shared" si="100"/>
        <v>40539</v>
      </c>
      <c r="R88" s="23">
        <f t="shared" si="100"/>
        <v>0</v>
      </c>
      <c r="S88" s="23">
        <f t="shared" si="100"/>
        <v>0</v>
      </c>
      <c r="T88" s="23">
        <f t="shared" si="100"/>
        <v>0</v>
      </c>
      <c r="U88" s="23">
        <f t="shared" si="100"/>
        <v>0</v>
      </c>
      <c r="V88" s="23">
        <f t="shared" si="100"/>
        <v>0</v>
      </c>
      <c r="W88" s="23">
        <f t="shared" si="100"/>
        <v>0</v>
      </c>
      <c r="X88" s="23">
        <f t="shared" si="100"/>
        <v>0</v>
      </c>
      <c r="Y88" s="23">
        <f t="shared" si="100"/>
        <v>0</v>
      </c>
      <c r="Z88" s="23">
        <f t="shared" si="100"/>
        <v>0</v>
      </c>
      <c r="AA88" s="23">
        <f t="shared" si="100"/>
        <v>0</v>
      </c>
      <c r="AB88" s="23">
        <f t="shared" si="100"/>
        <v>0</v>
      </c>
      <c r="AC88" s="23">
        <f t="shared" si="100"/>
        <v>0</v>
      </c>
      <c r="AD88" s="23">
        <f t="shared" si="100"/>
        <v>0</v>
      </c>
      <c r="AE88" s="23">
        <f t="shared" ref="AE88:AF88" si="101">AE73+AE78+AE83</f>
        <v>0</v>
      </c>
      <c r="AF88" s="23">
        <f t="shared" si="101"/>
        <v>0</v>
      </c>
      <c r="AG88" s="23">
        <f t="shared" si="100"/>
        <v>0</v>
      </c>
      <c r="AH88" s="23"/>
      <c r="AI88" s="23"/>
      <c r="AJ88" s="23"/>
      <c r="AK88" s="23"/>
      <c r="AL88" s="23"/>
    </row>
    <row r="89" spans="1:38" hidden="1">
      <c r="A89" s="8" t="s">
        <v>1</v>
      </c>
      <c r="B89" s="8"/>
      <c r="C89" s="8"/>
      <c r="D89" s="8"/>
      <c r="E89" s="8"/>
      <c r="F89" s="7">
        <f t="shared" ref="F89:AG89" si="102">F74+F79+F84</f>
        <v>17590</v>
      </c>
      <c r="G89" s="7">
        <f t="shared" si="102"/>
        <v>16165</v>
      </c>
      <c r="H89" s="7">
        <f t="shared" si="102"/>
        <v>17039</v>
      </c>
      <c r="I89" s="7">
        <f t="shared" si="102"/>
        <v>17324</v>
      </c>
      <c r="J89" s="7">
        <f t="shared" si="102"/>
        <v>16688</v>
      </c>
      <c r="K89" s="7">
        <f t="shared" si="102"/>
        <v>16840</v>
      </c>
      <c r="L89" s="7">
        <f t="shared" si="102"/>
        <v>17636</v>
      </c>
      <c r="M89" s="7">
        <f t="shared" si="102"/>
        <v>16225</v>
      </c>
      <c r="N89" s="7">
        <f t="shared" si="102"/>
        <v>17588</v>
      </c>
      <c r="O89" s="7">
        <f t="shared" si="102"/>
        <v>18810</v>
      </c>
      <c r="P89" s="7">
        <f t="shared" si="102"/>
        <v>17057</v>
      </c>
      <c r="Q89" s="7">
        <f t="shared" si="102"/>
        <v>12810</v>
      </c>
      <c r="R89" s="23">
        <f t="shared" si="102"/>
        <v>0</v>
      </c>
      <c r="S89" s="23">
        <f t="shared" si="102"/>
        <v>0</v>
      </c>
      <c r="T89" s="23">
        <f t="shared" si="102"/>
        <v>0</v>
      </c>
      <c r="U89" s="23">
        <f t="shared" si="102"/>
        <v>0</v>
      </c>
      <c r="V89" s="23">
        <f t="shared" si="102"/>
        <v>0</v>
      </c>
      <c r="W89" s="23">
        <f t="shared" si="102"/>
        <v>0</v>
      </c>
      <c r="X89" s="23">
        <f t="shared" si="102"/>
        <v>0</v>
      </c>
      <c r="Y89" s="23">
        <f t="shared" si="102"/>
        <v>0</v>
      </c>
      <c r="Z89" s="23">
        <f t="shared" si="102"/>
        <v>0</v>
      </c>
      <c r="AA89" s="23">
        <f t="shared" si="102"/>
        <v>0</v>
      </c>
      <c r="AB89" s="23">
        <f t="shared" si="102"/>
        <v>0</v>
      </c>
      <c r="AC89" s="23">
        <f t="shared" si="102"/>
        <v>0</v>
      </c>
      <c r="AD89" s="23">
        <f t="shared" si="102"/>
        <v>0</v>
      </c>
      <c r="AE89" s="23">
        <f t="shared" ref="AE89:AF89" si="103">AE74+AE79+AE84</f>
        <v>0</v>
      </c>
      <c r="AF89" s="23">
        <f t="shared" si="103"/>
        <v>0</v>
      </c>
      <c r="AG89" s="23">
        <f t="shared" si="102"/>
        <v>0</v>
      </c>
      <c r="AH89" s="23"/>
      <c r="AI89" s="23"/>
      <c r="AJ89" s="23"/>
      <c r="AK89" s="23"/>
      <c r="AL89" s="23"/>
    </row>
    <row r="90" spans="1:38" hidden="1">
      <c r="A90" s="8" t="s">
        <v>2</v>
      </c>
      <c r="B90" s="8"/>
      <c r="C90" s="8"/>
      <c r="D90" s="8"/>
      <c r="E90" s="8"/>
      <c r="F90" s="7">
        <f t="shared" ref="F90:AG90" si="104">F75+F80+F85</f>
        <v>21938</v>
      </c>
      <c r="G90" s="7">
        <f t="shared" si="104"/>
        <v>21817</v>
      </c>
      <c r="H90" s="7">
        <f t="shared" si="104"/>
        <v>21873</v>
      </c>
      <c r="I90" s="7">
        <f t="shared" si="104"/>
        <v>21588</v>
      </c>
      <c r="J90" s="7">
        <f t="shared" si="104"/>
        <v>22326</v>
      </c>
      <c r="K90" s="7">
        <f t="shared" si="104"/>
        <v>22311</v>
      </c>
      <c r="L90" s="7">
        <f t="shared" si="104"/>
        <v>22594</v>
      </c>
      <c r="M90" s="7">
        <f t="shared" si="104"/>
        <v>24063</v>
      </c>
      <c r="N90" s="7">
        <f t="shared" si="104"/>
        <v>24179</v>
      </c>
      <c r="O90" s="7">
        <f t="shared" si="104"/>
        <v>24409</v>
      </c>
      <c r="P90" s="7">
        <f t="shared" si="104"/>
        <v>23667</v>
      </c>
      <c r="Q90" s="7">
        <f t="shared" si="104"/>
        <v>20981</v>
      </c>
      <c r="R90" s="23">
        <f t="shared" si="104"/>
        <v>0</v>
      </c>
      <c r="S90" s="23">
        <f t="shared" si="104"/>
        <v>0</v>
      </c>
      <c r="T90" s="23">
        <f t="shared" si="104"/>
        <v>0</v>
      </c>
      <c r="U90" s="23">
        <f t="shared" si="104"/>
        <v>0</v>
      </c>
      <c r="V90" s="23">
        <f t="shared" si="104"/>
        <v>0</v>
      </c>
      <c r="W90" s="23">
        <f t="shared" si="104"/>
        <v>0</v>
      </c>
      <c r="X90" s="23">
        <f t="shared" si="104"/>
        <v>0</v>
      </c>
      <c r="Y90" s="23">
        <f t="shared" si="104"/>
        <v>0</v>
      </c>
      <c r="Z90" s="23">
        <f t="shared" si="104"/>
        <v>0</v>
      </c>
      <c r="AA90" s="23">
        <f t="shared" si="104"/>
        <v>0</v>
      </c>
      <c r="AB90" s="23">
        <f t="shared" si="104"/>
        <v>0</v>
      </c>
      <c r="AC90" s="23">
        <f t="shared" si="104"/>
        <v>0</v>
      </c>
      <c r="AD90" s="23">
        <f t="shared" si="104"/>
        <v>0</v>
      </c>
      <c r="AE90" s="23">
        <f t="shared" ref="AE90:AF90" si="105">AE75+AE80+AE85</f>
        <v>0</v>
      </c>
      <c r="AF90" s="23">
        <f t="shared" si="105"/>
        <v>0</v>
      </c>
      <c r="AG90" s="23">
        <f t="shared" si="104"/>
        <v>0</v>
      </c>
      <c r="AH90" s="23"/>
      <c r="AI90" s="23"/>
      <c r="AJ90" s="23"/>
      <c r="AK90" s="23"/>
      <c r="AL90" s="23"/>
    </row>
    <row r="91" spans="1:38" hidden="1">
      <c r="A91" s="8" t="s">
        <v>22</v>
      </c>
      <c r="B91" s="8"/>
      <c r="C91" s="8"/>
      <c r="D91" s="8"/>
      <c r="E91" s="8"/>
      <c r="F91" s="7">
        <f t="shared" ref="F91:AG91" si="106">F76+F81+F86</f>
        <v>6665</v>
      </c>
      <c r="G91" s="7">
        <f t="shared" si="106"/>
        <v>7329</v>
      </c>
      <c r="H91" s="7">
        <f t="shared" si="106"/>
        <v>7336</v>
      </c>
      <c r="I91" s="7">
        <f t="shared" si="106"/>
        <v>7549</v>
      </c>
      <c r="J91" s="7">
        <f t="shared" si="106"/>
        <v>7315</v>
      </c>
      <c r="K91" s="7">
        <f t="shared" si="106"/>
        <v>6779</v>
      </c>
      <c r="L91" s="7">
        <f t="shared" si="106"/>
        <v>7960</v>
      </c>
      <c r="M91" s="7">
        <f t="shared" si="106"/>
        <v>8200</v>
      </c>
      <c r="N91" s="7">
        <f t="shared" si="106"/>
        <v>7345</v>
      </c>
      <c r="O91" s="7">
        <f t="shared" si="106"/>
        <v>7777</v>
      </c>
      <c r="P91" s="7">
        <f t="shared" si="106"/>
        <v>7932</v>
      </c>
      <c r="Q91" s="7">
        <f t="shared" si="106"/>
        <v>6748</v>
      </c>
      <c r="R91" s="23">
        <f t="shared" si="106"/>
        <v>0</v>
      </c>
      <c r="S91" s="23">
        <f t="shared" si="106"/>
        <v>0</v>
      </c>
      <c r="T91" s="23">
        <f t="shared" si="106"/>
        <v>0</v>
      </c>
      <c r="U91" s="23">
        <f t="shared" si="106"/>
        <v>0</v>
      </c>
      <c r="V91" s="23">
        <f t="shared" si="106"/>
        <v>0</v>
      </c>
      <c r="W91" s="23">
        <f t="shared" si="106"/>
        <v>0</v>
      </c>
      <c r="X91" s="23">
        <f t="shared" si="106"/>
        <v>0</v>
      </c>
      <c r="Y91" s="23">
        <f t="shared" si="106"/>
        <v>0</v>
      </c>
      <c r="Z91" s="23">
        <f t="shared" si="106"/>
        <v>0</v>
      </c>
      <c r="AA91" s="23">
        <f t="shared" si="106"/>
        <v>0</v>
      </c>
      <c r="AB91" s="23">
        <f t="shared" si="106"/>
        <v>0</v>
      </c>
      <c r="AC91" s="23">
        <f t="shared" si="106"/>
        <v>0</v>
      </c>
      <c r="AD91" s="23">
        <f t="shared" si="106"/>
        <v>0</v>
      </c>
      <c r="AE91" s="23">
        <f t="shared" ref="AE91:AF91" si="107">AE76+AE81+AE86</f>
        <v>0</v>
      </c>
      <c r="AF91" s="23">
        <f t="shared" si="107"/>
        <v>0</v>
      </c>
      <c r="AG91" s="23">
        <f t="shared" si="106"/>
        <v>0</v>
      </c>
      <c r="AH91" s="23"/>
      <c r="AI91" s="23"/>
      <c r="AJ91" s="23"/>
      <c r="AK91" s="23"/>
      <c r="AL91" s="23"/>
    </row>
    <row r="92" spans="1:38" hidden="1">
      <c r="A92" s="6"/>
      <c r="B92" s="6"/>
      <c r="C92" s="6"/>
      <c r="D92" s="6"/>
      <c r="E92" s="6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</row>
    <row r="93" spans="1:38" ht="13.5" thickBot="1">
      <c r="A93" s="25" t="s">
        <v>12</v>
      </c>
      <c r="B93" s="25"/>
      <c r="C93" s="25"/>
      <c r="D93" s="26"/>
      <c r="E93" s="26"/>
      <c r="F93" s="26" t="s">
        <v>13</v>
      </c>
      <c r="G93" s="26" t="s">
        <v>14</v>
      </c>
      <c r="H93" s="26" t="s">
        <v>15</v>
      </c>
      <c r="I93" s="26" t="s">
        <v>16</v>
      </c>
      <c r="J93" s="26" t="s">
        <v>21</v>
      </c>
      <c r="K93" s="26" t="s">
        <v>23</v>
      </c>
      <c r="L93" s="26" t="s">
        <v>24</v>
      </c>
      <c r="M93" s="26" t="s">
        <v>38</v>
      </c>
      <c r="N93" s="26" t="s">
        <v>44</v>
      </c>
      <c r="O93" s="26" t="s">
        <v>45</v>
      </c>
      <c r="P93" s="26" t="s">
        <v>46</v>
      </c>
      <c r="Q93" s="26" t="s">
        <v>50</v>
      </c>
      <c r="R93" s="27" t="s">
        <v>53</v>
      </c>
      <c r="S93" s="27" t="s">
        <v>55</v>
      </c>
      <c r="T93" s="27" t="s">
        <v>58</v>
      </c>
      <c r="U93" s="27" t="s">
        <v>60</v>
      </c>
      <c r="V93" s="27" t="s">
        <v>63</v>
      </c>
      <c r="W93" s="27" t="s">
        <v>65</v>
      </c>
      <c r="X93" s="27" t="s">
        <v>67</v>
      </c>
      <c r="Y93" s="27" t="s">
        <v>69</v>
      </c>
      <c r="Z93" s="27" t="s">
        <v>71</v>
      </c>
      <c r="AA93" s="27" t="s">
        <v>76</v>
      </c>
      <c r="AB93" s="27" t="s">
        <v>79</v>
      </c>
      <c r="AC93" s="27" t="s">
        <v>107</v>
      </c>
      <c r="AD93" s="27" t="s">
        <v>111</v>
      </c>
      <c r="AE93" s="27" t="s">
        <v>114</v>
      </c>
      <c r="AF93" s="27" t="s">
        <v>136</v>
      </c>
      <c r="AG93" s="27" t="s">
        <v>137</v>
      </c>
      <c r="AH93" s="190" t="s">
        <v>145</v>
      </c>
      <c r="AI93" s="190" t="s">
        <v>148</v>
      </c>
      <c r="AJ93" s="190" t="s">
        <v>150</v>
      </c>
      <c r="AK93" s="190" t="s">
        <v>151</v>
      </c>
      <c r="AL93" s="190"/>
    </row>
    <row r="94" spans="1:38">
      <c r="A94" s="16" t="s">
        <v>7</v>
      </c>
      <c r="B94" s="7"/>
      <c r="C94" s="7"/>
      <c r="D94" s="7"/>
      <c r="E94" s="7"/>
      <c r="F94" s="7">
        <f t="shared" ref="F94:AG94" si="108">F95+F101+F107</f>
        <v>73631</v>
      </c>
      <c r="G94" s="7">
        <f t="shared" si="108"/>
        <v>72096</v>
      </c>
      <c r="H94" s="7">
        <f t="shared" si="108"/>
        <v>69563</v>
      </c>
      <c r="I94" s="7">
        <f t="shared" si="108"/>
        <v>70927</v>
      </c>
      <c r="J94" s="7">
        <f t="shared" si="108"/>
        <v>70183</v>
      </c>
      <c r="K94" s="7">
        <f t="shared" si="108"/>
        <v>70224</v>
      </c>
      <c r="L94" s="7">
        <f t="shared" si="108"/>
        <v>71798</v>
      </c>
      <c r="M94" s="7">
        <f t="shared" si="108"/>
        <v>72415</v>
      </c>
      <c r="N94" s="7">
        <f t="shared" si="108"/>
        <v>80083</v>
      </c>
      <c r="O94" s="7">
        <f t="shared" si="108"/>
        <v>83782</v>
      </c>
      <c r="P94" s="7">
        <f t="shared" si="108"/>
        <v>83488</v>
      </c>
      <c r="Q94" s="7">
        <f t="shared" si="108"/>
        <v>81602</v>
      </c>
      <c r="R94" s="7">
        <f t="shared" si="108"/>
        <v>77876</v>
      </c>
      <c r="S94" s="7">
        <f t="shared" si="108"/>
        <v>75782</v>
      </c>
      <c r="T94" s="7">
        <f t="shared" si="108"/>
        <v>77216</v>
      </c>
      <c r="U94" s="7">
        <f t="shared" si="108"/>
        <v>80869</v>
      </c>
      <c r="V94" s="7">
        <f t="shared" si="108"/>
        <v>87533</v>
      </c>
      <c r="W94" s="7">
        <f t="shared" si="108"/>
        <v>92765</v>
      </c>
      <c r="X94" s="7">
        <f t="shared" si="108"/>
        <v>99470</v>
      </c>
      <c r="Y94" s="7">
        <f t="shared" si="108"/>
        <v>108868</v>
      </c>
      <c r="Z94" s="7">
        <f t="shared" si="108"/>
        <v>116401</v>
      </c>
      <c r="AA94" s="7">
        <f t="shared" si="108"/>
        <v>122868.5</v>
      </c>
      <c r="AB94" s="7">
        <f t="shared" si="108"/>
        <v>131434.29999999999</v>
      </c>
      <c r="AC94" s="7">
        <f t="shared" si="108"/>
        <v>137123.29</v>
      </c>
      <c r="AD94" s="7">
        <f t="shared" si="108"/>
        <v>140100.15999999997</v>
      </c>
      <c r="AE94" s="7">
        <f t="shared" ref="AE94:AF94" si="109">AE95+AE101+AE107</f>
        <v>139554.628</v>
      </c>
      <c r="AF94" s="7">
        <f t="shared" si="109"/>
        <v>129465.495</v>
      </c>
      <c r="AG94" s="7">
        <f t="shared" si="108"/>
        <v>126168.76899999999</v>
      </c>
      <c r="AH94" s="7">
        <f t="shared" ref="AH94:AK94" si="110">AH95+AH101+AH107</f>
        <v>112147.389</v>
      </c>
      <c r="AI94" s="7">
        <f t="shared" ref="AI94:AJ94" si="111">AI95+AI101+AI107</f>
        <v>108925.02</v>
      </c>
      <c r="AJ94" s="7">
        <f t="shared" si="111"/>
        <v>113951</v>
      </c>
      <c r="AK94" s="7">
        <f t="shared" si="110"/>
        <v>114732</v>
      </c>
      <c r="AL94" s="7"/>
    </row>
    <row r="95" spans="1:38">
      <c r="A95" s="7" t="s">
        <v>17</v>
      </c>
      <c r="B95" s="7"/>
      <c r="C95" s="7"/>
      <c r="D95" s="7"/>
      <c r="E95" s="7"/>
      <c r="F95" s="7">
        <f t="shared" ref="F95:Z95" si="112">F96+F97+F99</f>
        <v>3730</v>
      </c>
      <c r="G95" s="7">
        <f t="shared" si="112"/>
        <v>3979</v>
      </c>
      <c r="H95" s="7">
        <f t="shared" si="112"/>
        <v>3463</v>
      </c>
      <c r="I95" s="7">
        <f t="shared" si="112"/>
        <v>3307</v>
      </c>
      <c r="J95" s="7">
        <f t="shared" si="112"/>
        <v>3570</v>
      </c>
      <c r="K95" s="7">
        <f t="shared" si="112"/>
        <v>3403</v>
      </c>
      <c r="L95" s="7">
        <f t="shared" si="112"/>
        <v>3459</v>
      </c>
      <c r="M95" s="7">
        <f t="shared" si="112"/>
        <v>3556</v>
      </c>
      <c r="N95" s="7">
        <f t="shared" si="112"/>
        <v>4314</v>
      </c>
      <c r="O95" s="7">
        <f t="shared" si="112"/>
        <v>4396</v>
      </c>
      <c r="P95" s="7">
        <f t="shared" si="112"/>
        <v>4487</v>
      </c>
      <c r="Q95" s="7">
        <f t="shared" si="112"/>
        <v>4057</v>
      </c>
      <c r="R95" s="7">
        <f t="shared" si="112"/>
        <v>4331</v>
      </c>
      <c r="S95" s="7">
        <f t="shared" si="112"/>
        <v>4667</v>
      </c>
      <c r="T95" s="7">
        <f t="shared" si="112"/>
        <v>4371</v>
      </c>
      <c r="U95" s="7">
        <f t="shared" si="112"/>
        <v>4612</v>
      </c>
      <c r="V95" s="7">
        <f t="shared" si="112"/>
        <v>4888</v>
      </c>
      <c r="W95" s="7">
        <f t="shared" si="112"/>
        <v>5231</v>
      </c>
      <c r="X95" s="7">
        <f t="shared" si="112"/>
        <v>3937</v>
      </c>
      <c r="Y95" s="7">
        <f t="shared" si="112"/>
        <v>5042</v>
      </c>
      <c r="Z95" s="7">
        <f t="shared" si="112"/>
        <v>5616</v>
      </c>
      <c r="AA95" s="7">
        <f>AA96+AA97+AA99+AA98</f>
        <v>5303.38</v>
      </c>
      <c r="AB95" s="7">
        <f>AB96+AB97+AB99+AB98</f>
        <v>5531.86</v>
      </c>
      <c r="AC95" s="7">
        <f>AC96+AC97+AC99+AC98</f>
        <v>5328.14</v>
      </c>
      <c r="AD95" s="7">
        <f>AD96+AD97+AD99+AD98</f>
        <v>5437.71</v>
      </c>
      <c r="AE95" s="7">
        <f t="shared" ref="AE95:AF95" si="113">AE96+AE97+AE99+AE98</f>
        <v>5251.3010000000004</v>
      </c>
      <c r="AF95" s="7">
        <f t="shared" si="113"/>
        <v>4932.1890000000003</v>
      </c>
      <c r="AG95" s="7">
        <f>AG96+AG97+AG99+AG98</f>
        <v>4467.2669999999998</v>
      </c>
      <c r="AH95" s="7">
        <f>AH96+AH97+AH99+AH98</f>
        <v>445.15</v>
      </c>
      <c r="AI95" s="7">
        <f>AI96+AI97+AI99+AI98</f>
        <v>2885</v>
      </c>
      <c r="AJ95" s="7">
        <f>AJ96+AJ97+AJ99+AJ98</f>
        <v>1946</v>
      </c>
      <c r="AK95" s="7">
        <f>AK96+AK97+AK99+AK98</f>
        <v>1922</v>
      </c>
      <c r="AL95" s="7"/>
    </row>
    <row r="96" spans="1:38">
      <c r="A96" s="6" t="s">
        <v>1</v>
      </c>
      <c r="B96" s="6"/>
      <c r="C96" s="6"/>
      <c r="D96" s="6"/>
      <c r="E96" s="6"/>
      <c r="F96" s="9">
        <v>341</v>
      </c>
      <c r="G96" s="9">
        <f>363+21</f>
        <v>384</v>
      </c>
      <c r="H96" s="9">
        <f>372+39</f>
        <v>411</v>
      </c>
      <c r="I96" s="9">
        <f>478+38</f>
        <v>516</v>
      </c>
      <c r="J96" s="9">
        <f>650+44</f>
        <v>694</v>
      </c>
      <c r="K96" s="9">
        <v>526</v>
      </c>
      <c r="L96" s="9">
        <v>651</v>
      </c>
      <c r="M96" s="9">
        <v>624</v>
      </c>
      <c r="N96" s="9">
        <v>746</v>
      </c>
      <c r="O96" s="9">
        <v>855</v>
      </c>
      <c r="P96" s="9">
        <v>755</v>
      </c>
      <c r="Q96" s="9">
        <v>614</v>
      </c>
      <c r="R96" s="9">
        <v>572</v>
      </c>
      <c r="S96" s="9">
        <v>420</v>
      </c>
      <c r="T96" s="9">
        <v>330</v>
      </c>
      <c r="U96" s="9">
        <v>410</v>
      </c>
      <c r="V96" s="9">
        <v>495</v>
      </c>
      <c r="W96" s="14">
        <v>573</v>
      </c>
      <c r="X96" s="14">
        <v>881</v>
      </c>
      <c r="Y96" s="14">
        <v>849</v>
      </c>
      <c r="Z96" s="14">
        <v>1008</v>
      </c>
      <c r="AA96" s="175">
        <v>725</v>
      </c>
      <c r="AB96" s="175">
        <v>723</v>
      </c>
      <c r="AC96" s="175">
        <v>722</v>
      </c>
      <c r="AD96" s="175">
        <v>673</v>
      </c>
      <c r="AE96" s="175">
        <v>695</v>
      </c>
      <c r="AF96" s="175">
        <v>598</v>
      </c>
      <c r="AG96" s="175">
        <v>677</v>
      </c>
      <c r="AH96" s="191">
        <v>0</v>
      </c>
      <c r="AI96" s="191">
        <v>371</v>
      </c>
      <c r="AJ96" s="191">
        <v>243</v>
      </c>
      <c r="AK96" s="191">
        <v>436</v>
      </c>
      <c r="AL96" s="191"/>
    </row>
    <row r="97" spans="1:38">
      <c r="A97" s="6" t="s">
        <v>2</v>
      </c>
      <c r="B97" s="6"/>
      <c r="C97" s="6"/>
      <c r="D97" s="6"/>
      <c r="E97" s="6"/>
      <c r="F97" s="9">
        <v>1816</v>
      </c>
      <c r="G97" s="9">
        <f>1656+271</f>
        <v>1927</v>
      </c>
      <c r="H97" s="9">
        <f>1435+208</f>
        <v>1643</v>
      </c>
      <c r="I97" s="9">
        <f>1192+262</f>
        <v>1454</v>
      </c>
      <c r="J97" s="9">
        <f>1127+325</f>
        <v>1452</v>
      </c>
      <c r="K97" s="9">
        <v>1349</v>
      </c>
      <c r="L97" s="9">
        <v>1300</v>
      </c>
      <c r="M97" s="9">
        <v>1274</v>
      </c>
      <c r="N97" s="9">
        <v>1965</v>
      </c>
      <c r="O97" s="9">
        <v>1872</v>
      </c>
      <c r="P97" s="9">
        <v>1846</v>
      </c>
      <c r="Q97" s="9">
        <v>1622</v>
      </c>
      <c r="R97" s="9">
        <v>1724</v>
      </c>
      <c r="S97" s="9">
        <v>2176</v>
      </c>
      <c r="T97" s="9">
        <v>1932</v>
      </c>
      <c r="U97" s="9">
        <v>1752</v>
      </c>
      <c r="V97" s="9">
        <v>2169</v>
      </c>
      <c r="W97" s="15">
        <v>2334</v>
      </c>
      <c r="X97" s="15">
        <v>2481</v>
      </c>
      <c r="Y97" s="15">
        <v>3068</v>
      </c>
      <c r="Z97" s="15">
        <v>3155</v>
      </c>
      <c r="AA97" s="176">
        <v>3075.52</v>
      </c>
      <c r="AB97" s="176">
        <v>3175.16</v>
      </c>
      <c r="AC97" s="176">
        <v>2986.92</v>
      </c>
      <c r="AD97" s="176">
        <v>3490.26</v>
      </c>
      <c r="AE97" s="176">
        <v>3340.94</v>
      </c>
      <c r="AF97" s="176">
        <v>3269.06</v>
      </c>
      <c r="AG97" s="176">
        <v>2657.2</v>
      </c>
      <c r="AH97" s="191">
        <v>333.2</v>
      </c>
      <c r="AI97" s="191">
        <v>1721</v>
      </c>
      <c r="AJ97" s="191">
        <v>938</v>
      </c>
      <c r="AK97" s="191">
        <v>709</v>
      </c>
      <c r="AL97" s="191"/>
    </row>
    <row r="98" spans="1:38">
      <c r="A98" s="6" t="s">
        <v>11</v>
      </c>
      <c r="B98" s="6"/>
      <c r="C98" s="6"/>
      <c r="D98" s="6"/>
      <c r="E98" s="6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15"/>
      <c r="X98" s="15"/>
      <c r="Y98" s="15"/>
      <c r="Z98" s="15"/>
      <c r="AA98" s="176">
        <v>0</v>
      </c>
      <c r="AB98" s="176">
        <v>0</v>
      </c>
      <c r="AC98" s="176">
        <v>0</v>
      </c>
      <c r="AD98" s="176">
        <v>0</v>
      </c>
      <c r="AE98" s="176">
        <v>0</v>
      </c>
      <c r="AF98" s="176">
        <v>0</v>
      </c>
      <c r="AG98" s="176">
        <v>0</v>
      </c>
      <c r="AH98" s="191">
        <v>0</v>
      </c>
      <c r="AI98" s="191">
        <v>0</v>
      </c>
      <c r="AJ98" s="191">
        <v>0</v>
      </c>
      <c r="AK98" s="191">
        <v>0</v>
      </c>
      <c r="AL98" s="191"/>
    </row>
    <row r="99" spans="1:38">
      <c r="A99" s="6" t="s">
        <v>22</v>
      </c>
      <c r="B99" s="6"/>
      <c r="C99" s="6"/>
      <c r="D99" s="6"/>
      <c r="E99" s="6"/>
      <c r="F99" s="9">
        <v>1573</v>
      </c>
      <c r="G99" s="9">
        <v>1668</v>
      </c>
      <c r="H99" s="9">
        <v>1409</v>
      </c>
      <c r="I99" s="9">
        <v>1337</v>
      </c>
      <c r="J99" s="9">
        <v>1424</v>
      </c>
      <c r="K99" s="9">
        <v>1528</v>
      </c>
      <c r="L99" s="9">
        <v>1508</v>
      </c>
      <c r="M99" s="9">
        <v>1658</v>
      </c>
      <c r="N99" s="9">
        <v>1603</v>
      </c>
      <c r="O99" s="9">
        <v>1669</v>
      </c>
      <c r="P99" s="9">
        <v>1886</v>
      </c>
      <c r="Q99" s="9">
        <v>1821</v>
      </c>
      <c r="R99" s="9">
        <v>2035</v>
      </c>
      <c r="S99" s="9">
        <v>2071</v>
      </c>
      <c r="T99" s="9">
        <v>2109</v>
      </c>
      <c r="U99" s="9">
        <v>2450</v>
      </c>
      <c r="V99" s="9">
        <v>2224</v>
      </c>
      <c r="W99" s="15">
        <v>2324</v>
      </c>
      <c r="X99" s="15">
        <v>575</v>
      </c>
      <c r="Y99" s="15">
        <v>1125</v>
      </c>
      <c r="Z99" s="15">
        <v>1453</v>
      </c>
      <c r="AA99" s="176">
        <v>1502.86</v>
      </c>
      <c r="AB99" s="176">
        <v>1633.7</v>
      </c>
      <c r="AC99" s="176">
        <v>1619.22</v>
      </c>
      <c r="AD99" s="176">
        <v>1274.45</v>
      </c>
      <c r="AE99" s="176">
        <v>1215.3610000000001</v>
      </c>
      <c r="AF99" s="176">
        <v>1065.1289999999999</v>
      </c>
      <c r="AG99" s="176">
        <v>1133.067</v>
      </c>
      <c r="AH99" s="191">
        <v>111.95</v>
      </c>
      <c r="AI99" s="191">
        <v>793</v>
      </c>
      <c r="AJ99" s="191">
        <v>765</v>
      </c>
      <c r="AK99" s="191">
        <v>777</v>
      </c>
      <c r="AL99" s="191"/>
    </row>
    <row r="100" spans="1:38">
      <c r="A100" s="6"/>
      <c r="B100" s="6"/>
      <c r="C100" s="6"/>
      <c r="D100" s="6"/>
      <c r="E100" s="6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</row>
    <row r="101" spans="1:38">
      <c r="A101" s="7" t="s">
        <v>18</v>
      </c>
      <c r="B101" s="7"/>
      <c r="C101" s="7"/>
      <c r="D101" s="7"/>
      <c r="E101" s="7"/>
      <c r="F101" s="7">
        <f t="shared" ref="F101:Z101" si="114">F102+F103+F105</f>
        <v>35654</v>
      </c>
      <c r="G101" s="7">
        <f t="shared" si="114"/>
        <v>35164</v>
      </c>
      <c r="H101" s="7">
        <f t="shared" si="114"/>
        <v>33642</v>
      </c>
      <c r="I101" s="7">
        <f t="shared" si="114"/>
        <v>34318</v>
      </c>
      <c r="J101" s="7">
        <f t="shared" si="114"/>
        <v>34288</v>
      </c>
      <c r="K101" s="7">
        <f t="shared" si="114"/>
        <v>33940</v>
      </c>
      <c r="L101" s="7">
        <f t="shared" si="114"/>
        <v>34612</v>
      </c>
      <c r="M101" s="7">
        <f t="shared" si="114"/>
        <v>35476</v>
      </c>
      <c r="N101" s="7">
        <f t="shared" si="114"/>
        <v>37890</v>
      </c>
      <c r="O101" s="7">
        <f t="shared" si="114"/>
        <v>40772</v>
      </c>
      <c r="P101" s="7">
        <f t="shared" si="114"/>
        <v>40940</v>
      </c>
      <c r="Q101" s="7">
        <f t="shared" si="114"/>
        <v>39804</v>
      </c>
      <c r="R101" s="7">
        <f t="shared" si="114"/>
        <v>38064</v>
      </c>
      <c r="S101" s="7">
        <f t="shared" si="114"/>
        <v>36413</v>
      </c>
      <c r="T101" s="7">
        <f t="shared" si="114"/>
        <v>37513</v>
      </c>
      <c r="U101" s="7">
        <f t="shared" si="114"/>
        <v>39278</v>
      </c>
      <c r="V101" s="7">
        <f t="shared" si="114"/>
        <v>42531</v>
      </c>
      <c r="W101" s="7">
        <f t="shared" si="114"/>
        <v>45630</v>
      </c>
      <c r="X101" s="7">
        <f t="shared" si="114"/>
        <v>49347</v>
      </c>
      <c r="Y101" s="7">
        <f t="shared" si="114"/>
        <v>53085</v>
      </c>
      <c r="Z101" s="7">
        <f t="shared" si="114"/>
        <v>57611</v>
      </c>
      <c r="AA101" s="7">
        <f>AA102+AA103+AA105+AA104</f>
        <v>61135.909999999996</v>
      </c>
      <c r="AB101" s="7">
        <f>AB102+AB103+AB105+AB104</f>
        <v>65910.960000000006</v>
      </c>
      <c r="AC101" s="7">
        <f>AC102+AC103+AC105+AC104</f>
        <v>68763.06</v>
      </c>
      <c r="AD101" s="7">
        <f>AD102+AD103+AD105+AD104</f>
        <v>70701.969999999987</v>
      </c>
      <c r="AE101" s="7">
        <f t="shared" ref="AE101:AF101" si="115">AE102+AE103+AE105+AE104</f>
        <v>72582.055999999997</v>
      </c>
      <c r="AF101" s="7">
        <f t="shared" si="115"/>
        <v>65076.595000000001</v>
      </c>
      <c r="AG101" s="7">
        <f>AG102+AG103+AG105+AG104</f>
        <v>64457.453999999991</v>
      </c>
      <c r="AH101" s="7">
        <f>AH102+AH103+AH105+AH104</f>
        <v>59870.296000000002</v>
      </c>
      <c r="AI101" s="7">
        <f>AI102+AI103+AI105+AI104</f>
        <v>55182</v>
      </c>
      <c r="AJ101" s="7">
        <f>AJ102+AJ103+AJ105+AJ104</f>
        <v>57197</v>
      </c>
      <c r="AK101" s="198">
        <f>AK102+AK103+AK105+AK104</f>
        <v>56441</v>
      </c>
      <c r="AL101" s="7"/>
    </row>
    <row r="102" spans="1:38">
      <c r="A102" s="6" t="s">
        <v>1</v>
      </c>
      <c r="B102" s="6"/>
      <c r="C102" s="6"/>
      <c r="D102" s="6"/>
      <c r="E102" s="6"/>
      <c r="F102" s="9">
        <v>11573</v>
      </c>
      <c r="G102" s="9">
        <f>10718+14</f>
        <v>10732</v>
      </c>
      <c r="H102" s="9">
        <f>10192+24</f>
        <v>10216</v>
      </c>
      <c r="I102" s="9">
        <f>10926+22</f>
        <v>10948</v>
      </c>
      <c r="J102" s="9">
        <f>10732+32</f>
        <v>10764</v>
      </c>
      <c r="K102" s="9">
        <v>10945</v>
      </c>
      <c r="L102" s="9">
        <v>11100</v>
      </c>
      <c r="M102" s="9">
        <v>12219</v>
      </c>
      <c r="N102" s="9">
        <v>12285</v>
      </c>
      <c r="O102" s="9">
        <v>13969</v>
      </c>
      <c r="P102" s="9">
        <v>12851</v>
      </c>
      <c r="Q102" s="9">
        <v>12776</v>
      </c>
      <c r="R102" s="9">
        <v>12403</v>
      </c>
      <c r="S102" s="9">
        <v>11403</v>
      </c>
      <c r="T102" s="9">
        <v>12679</v>
      </c>
      <c r="U102" s="9">
        <v>13785</v>
      </c>
      <c r="V102" s="9">
        <v>14454</v>
      </c>
      <c r="W102" s="14">
        <v>16483</v>
      </c>
      <c r="X102" s="14">
        <v>18577</v>
      </c>
      <c r="Y102" s="14">
        <v>19589</v>
      </c>
      <c r="Z102" s="14">
        <v>21655</v>
      </c>
      <c r="AA102" s="175">
        <v>22568.92</v>
      </c>
      <c r="AB102" s="175">
        <v>24213.47</v>
      </c>
      <c r="AC102" s="175">
        <v>25534.18</v>
      </c>
      <c r="AD102" s="175">
        <v>25251.53</v>
      </c>
      <c r="AE102" s="175">
        <v>26043.828000000001</v>
      </c>
      <c r="AF102" s="175">
        <v>22804.9</v>
      </c>
      <c r="AG102" s="175">
        <v>21105.19</v>
      </c>
      <c r="AH102" s="191">
        <v>19983.883000000002</v>
      </c>
      <c r="AI102" s="191">
        <v>19841</v>
      </c>
      <c r="AJ102" s="191">
        <v>21580</v>
      </c>
      <c r="AK102" s="199">
        <v>20979</v>
      </c>
      <c r="AL102" s="191"/>
    </row>
    <row r="103" spans="1:38">
      <c r="A103" s="6" t="s">
        <v>2</v>
      </c>
      <c r="B103" s="6"/>
      <c r="C103" s="6"/>
      <c r="D103" s="6"/>
      <c r="E103" s="6"/>
      <c r="F103" s="9">
        <v>17901</v>
      </c>
      <c r="G103" s="9">
        <f>18185+339</f>
        <v>18524</v>
      </c>
      <c r="H103" s="9">
        <f>17570+292</f>
        <v>17862</v>
      </c>
      <c r="I103" s="9">
        <f>17489+340</f>
        <v>17829</v>
      </c>
      <c r="J103" s="9">
        <f>17467+459</f>
        <v>17926</v>
      </c>
      <c r="K103" s="9">
        <v>17598</v>
      </c>
      <c r="L103" s="9">
        <v>17850</v>
      </c>
      <c r="M103" s="9">
        <v>17462</v>
      </c>
      <c r="N103" s="9">
        <v>19733</v>
      </c>
      <c r="O103" s="9">
        <v>20690</v>
      </c>
      <c r="P103" s="9">
        <v>21172</v>
      </c>
      <c r="Q103" s="9">
        <v>20206</v>
      </c>
      <c r="R103" s="9">
        <v>19622</v>
      </c>
      <c r="S103" s="9">
        <v>19237</v>
      </c>
      <c r="T103" s="9">
        <v>18428</v>
      </c>
      <c r="U103" s="9">
        <v>18984</v>
      </c>
      <c r="V103" s="9">
        <v>20771</v>
      </c>
      <c r="W103" s="15">
        <v>21472</v>
      </c>
      <c r="X103" s="15">
        <v>23211</v>
      </c>
      <c r="Y103" s="15">
        <v>25302</v>
      </c>
      <c r="Z103" s="15">
        <v>27196</v>
      </c>
      <c r="AA103" s="176">
        <v>28898.84</v>
      </c>
      <c r="AB103" s="176">
        <v>31305.32</v>
      </c>
      <c r="AC103" s="176">
        <v>32996.43</v>
      </c>
      <c r="AD103" s="176">
        <v>34697.96</v>
      </c>
      <c r="AE103" s="176">
        <v>36737.697999999997</v>
      </c>
      <c r="AF103" s="176">
        <v>34089.07</v>
      </c>
      <c r="AG103" s="176">
        <v>35451.197999999997</v>
      </c>
      <c r="AH103" s="191">
        <v>31986.088</v>
      </c>
      <c r="AI103" s="191">
        <v>27883</v>
      </c>
      <c r="AJ103" s="191">
        <v>26675</v>
      </c>
      <c r="AK103" s="199">
        <v>26557</v>
      </c>
      <c r="AL103" s="191"/>
    </row>
    <row r="104" spans="1:38">
      <c r="A104" s="6" t="s">
        <v>11</v>
      </c>
      <c r="B104" s="6"/>
      <c r="C104" s="6"/>
      <c r="D104" s="6"/>
      <c r="E104" s="6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15"/>
      <c r="X104" s="15"/>
      <c r="Y104" s="15"/>
      <c r="Z104" s="15"/>
      <c r="AA104" s="176">
        <v>12.96</v>
      </c>
      <c r="AB104" s="176">
        <v>11.16</v>
      </c>
      <c r="AC104" s="176">
        <v>17.64</v>
      </c>
      <c r="AD104" s="176">
        <v>19.149999999999999</v>
      </c>
      <c r="AE104" s="176">
        <v>16.920000000000002</v>
      </c>
      <c r="AF104" s="176">
        <v>12.24</v>
      </c>
      <c r="AG104" s="176">
        <v>0</v>
      </c>
      <c r="AH104" s="191">
        <v>0</v>
      </c>
      <c r="AI104" s="191">
        <v>0</v>
      </c>
      <c r="AJ104" s="191">
        <v>0</v>
      </c>
      <c r="AK104" s="199">
        <v>0</v>
      </c>
      <c r="AL104" s="191"/>
    </row>
    <row r="105" spans="1:38">
      <c r="A105" s="6" t="s">
        <v>22</v>
      </c>
      <c r="B105" s="6"/>
      <c r="C105" s="6"/>
      <c r="D105" s="6"/>
      <c r="E105" s="6"/>
      <c r="F105" s="9">
        <v>6180</v>
      </c>
      <c r="G105" s="9">
        <v>5908</v>
      </c>
      <c r="H105" s="9">
        <v>5564</v>
      </c>
      <c r="I105" s="9">
        <v>5541</v>
      </c>
      <c r="J105" s="9">
        <v>5598</v>
      </c>
      <c r="K105" s="9">
        <v>5397</v>
      </c>
      <c r="L105" s="9">
        <v>5662</v>
      </c>
      <c r="M105" s="9">
        <v>5795</v>
      </c>
      <c r="N105" s="9">
        <v>5872</v>
      </c>
      <c r="O105" s="9">
        <v>6113</v>
      </c>
      <c r="P105" s="9">
        <v>6917</v>
      </c>
      <c r="Q105" s="9">
        <v>6822</v>
      </c>
      <c r="R105" s="9">
        <v>6039</v>
      </c>
      <c r="S105" s="9">
        <v>5773</v>
      </c>
      <c r="T105" s="9">
        <v>6406</v>
      </c>
      <c r="U105" s="9">
        <v>6509</v>
      </c>
      <c r="V105" s="9">
        <v>7306</v>
      </c>
      <c r="W105" s="15">
        <v>7675</v>
      </c>
      <c r="X105" s="15">
        <v>7559</v>
      </c>
      <c r="Y105" s="15">
        <v>8194</v>
      </c>
      <c r="Z105" s="15">
        <v>8760</v>
      </c>
      <c r="AA105" s="176">
        <v>9655.19</v>
      </c>
      <c r="AB105" s="176">
        <v>10381.01</v>
      </c>
      <c r="AC105" s="176">
        <v>10214.81</v>
      </c>
      <c r="AD105" s="176">
        <v>10733.33</v>
      </c>
      <c r="AE105" s="176">
        <v>9783.61</v>
      </c>
      <c r="AF105" s="176">
        <v>8170.3850000000002</v>
      </c>
      <c r="AG105" s="176">
        <v>7901.0659999999998</v>
      </c>
      <c r="AH105" s="191">
        <v>7900.3249999999998</v>
      </c>
      <c r="AI105" s="191">
        <v>7458</v>
      </c>
      <c r="AJ105" s="191">
        <v>8942</v>
      </c>
      <c r="AK105" s="199">
        <v>8905</v>
      </c>
      <c r="AL105" s="191"/>
    </row>
    <row r="106" spans="1:38">
      <c r="A106" s="6"/>
      <c r="B106" s="6"/>
      <c r="C106" s="6"/>
      <c r="D106" s="6"/>
      <c r="E106" s="6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</row>
    <row r="107" spans="1:38">
      <c r="A107" s="7" t="s">
        <v>19</v>
      </c>
      <c r="B107" s="7"/>
      <c r="C107" s="7"/>
      <c r="D107" s="7"/>
      <c r="E107" s="7"/>
      <c r="F107" s="7">
        <f t="shared" ref="F107:Z107" si="116">F108+F109+F111</f>
        <v>34247</v>
      </c>
      <c r="G107" s="7">
        <f t="shared" si="116"/>
        <v>32953</v>
      </c>
      <c r="H107" s="7">
        <f t="shared" si="116"/>
        <v>32458</v>
      </c>
      <c r="I107" s="7">
        <f t="shared" si="116"/>
        <v>33302</v>
      </c>
      <c r="J107" s="7">
        <f t="shared" si="116"/>
        <v>32325</v>
      </c>
      <c r="K107" s="7">
        <f t="shared" si="116"/>
        <v>32881</v>
      </c>
      <c r="L107" s="7">
        <f t="shared" si="116"/>
        <v>33727</v>
      </c>
      <c r="M107" s="7">
        <f t="shared" si="116"/>
        <v>33383</v>
      </c>
      <c r="N107" s="7">
        <f t="shared" si="116"/>
        <v>37879</v>
      </c>
      <c r="O107" s="7">
        <f t="shared" si="116"/>
        <v>38614</v>
      </c>
      <c r="P107" s="7">
        <f t="shared" si="116"/>
        <v>38061</v>
      </c>
      <c r="Q107" s="7">
        <f t="shared" si="116"/>
        <v>37741</v>
      </c>
      <c r="R107" s="7">
        <f t="shared" si="116"/>
        <v>35481</v>
      </c>
      <c r="S107" s="7">
        <f t="shared" si="116"/>
        <v>34702</v>
      </c>
      <c r="T107" s="7">
        <f t="shared" si="116"/>
        <v>35332</v>
      </c>
      <c r="U107" s="7">
        <f t="shared" si="116"/>
        <v>36979</v>
      </c>
      <c r="V107" s="7">
        <f t="shared" si="116"/>
        <v>40114</v>
      </c>
      <c r="W107" s="7">
        <f t="shared" si="116"/>
        <v>41904</v>
      </c>
      <c r="X107" s="7">
        <f t="shared" si="116"/>
        <v>46186</v>
      </c>
      <c r="Y107" s="7">
        <f t="shared" si="116"/>
        <v>50741</v>
      </c>
      <c r="Z107" s="7">
        <f t="shared" si="116"/>
        <v>53174</v>
      </c>
      <c r="AA107" s="7">
        <f>AA108+AA109+AA111+AA110</f>
        <v>56429.21</v>
      </c>
      <c r="AB107" s="7">
        <f>AB108+AB109+AB111+AB110</f>
        <v>59991.479999999996</v>
      </c>
      <c r="AC107" s="7">
        <f>AC108+AC109+AC111+AC110</f>
        <v>63032.090000000004</v>
      </c>
      <c r="AD107" s="7">
        <f>AD108+AD109+AD111+AD110</f>
        <v>63960.479999999996</v>
      </c>
      <c r="AE107" s="7">
        <f t="shared" ref="AE107:AF107" si="117">AE108+AE109+AE111+AE110</f>
        <v>61721.270999999993</v>
      </c>
      <c r="AF107" s="7">
        <f t="shared" si="117"/>
        <v>59456.711000000003</v>
      </c>
      <c r="AG107" s="7">
        <f>AG108+AG109+AG111+AG110</f>
        <v>57244.047999999995</v>
      </c>
      <c r="AH107" s="7">
        <f>AH108+AH109+AH111+AH110</f>
        <v>51831.942999999999</v>
      </c>
      <c r="AI107" s="7">
        <f>AI108+AI109+AI111+AI110</f>
        <v>50858.020000000004</v>
      </c>
      <c r="AJ107" s="7">
        <f>AJ108+AJ109+AJ111+AJ110</f>
        <v>54808</v>
      </c>
      <c r="AK107" s="198">
        <f>AK108+AK109+AK111+AK110</f>
        <v>56369</v>
      </c>
      <c r="AL107" s="7"/>
    </row>
    <row r="108" spans="1:38">
      <c r="A108" s="6" t="s">
        <v>1</v>
      </c>
      <c r="B108" s="6"/>
      <c r="C108" s="6"/>
      <c r="D108" s="6"/>
      <c r="E108" s="6"/>
      <c r="F108" s="9">
        <v>9489</v>
      </c>
      <c r="G108" s="9">
        <f>8497+51</f>
        <v>8548</v>
      </c>
      <c r="H108" s="9">
        <f>9465+43</f>
        <v>9508</v>
      </c>
      <c r="I108" s="9">
        <f>9246+66</f>
        <v>9312</v>
      </c>
      <c r="J108" s="9">
        <v>9076</v>
      </c>
      <c r="K108" s="9">
        <v>9465</v>
      </c>
      <c r="L108" s="9">
        <v>10010</v>
      </c>
      <c r="M108" s="9">
        <v>10000</v>
      </c>
      <c r="N108" s="9">
        <v>11252</v>
      </c>
      <c r="O108" s="9">
        <v>11040</v>
      </c>
      <c r="P108" s="9">
        <v>9772</v>
      </c>
      <c r="Q108" s="9">
        <v>10207</v>
      </c>
      <c r="R108" s="9">
        <v>8823</v>
      </c>
      <c r="S108" s="9">
        <v>9147</v>
      </c>
      <c r="T108" s="9">
        <v>10146</v>
      </c>
      <c r="U108" s="9">
        <v>10718</v>
      </c>
      <c r="V108" s="9">
        <v>11317</v>
      </c>
      <c r="W108" s="14">
        <v>12535</v>
      </c>
      <c r="X108" s="14">
        <v>13996</v>
      </c>
      <c r="Y108" s="14">
        <v>16108</v>
      </c>
      <c r="Z108" s="14">
        <v>17268</v>
      </c>
      <c r="AA108" s="175">
        <v>17605.080000000002</v>
      </c>
      <c r="AB108" s="175">
        <v>18974.13</v>
      </c>
      <c r="AC108" s="175">
        <v>19480.82</v>
      </c>
      <c r="AD108" s="175">
        <v>18576.34</v>
      </c>
      <c r="AE108" s="175">
        <v>17487.569</v>
      </c>
      <c r="AF108" s="175">
        <v>16761.795999999998</v>
      </c>
      <c r="AG108" s="175">
        <v>15797.642</v>
      </c>
      <c r="AH108" s="191">
        <v>13804.15</v>
      </c>
      <c r="AI108" s="191">
        <v>14625.77</v>
      </c>
      <c r="AJ108" s="191">
        <v>18620</v>
      </c>
      <c r="AK108" s="199">
        <v>17651</v>
      </c>
      <c r="AL108" s="191"/>
    </row>
    <row r="109" spans="1:38">
      <c r="A109" s="6" t="s">
        <v>2</v>
      </c>
      <c r="B109" s="6"/>
      <c r="C109" s="6"/>
      <c r="D109" s="6"/>
      <c r="E109" s="6"/>
      <c r="F109" s="9">
        <v>18621</v>
      </c>
      <c r="G109" s="9">
        <f>18384+332</f>
        <v>18716</v>
      </c>
      <c r="H109" s="9">
        <f>17276+385</f>
        <v>17661</v>
      </c>
      <c r="I109" s="9">
        <f>17949+445</f>
        <v>18394</v>
      </c>
      <c r="J109" s="9">
        <v>17713</v>
      </c>
      <c r="K109" s="9">
        <v>17698</v>
      </c>
      <c r="L109" s="9">
        <v>17997</v>
      </c>
      <c r="M109" s="9">
        <v>17819</v>
      </c>
      <c r="N109" s="9">
        <v>20813</v>
      </c>
      <c r="O109" s="9">
        <v>20823</v>
      </c>
      <c r="P109" s="9">
        <v>21442</v>
      </c>
      <c r="Q109" s="9">
        <v>20888</v>
      </c>
      <c r="R109" s="9">
        <v>20596</v>
      </c>
      <c r="S109" s="9">
        <v>19565</v>
      </c>
      <c r="T109" s="9">
        <v>18809</v>
      </c>
      <c r="U109" s="9">
        <v>19990</v>
      </c>
      <c r="V109" s="9">
        <v>21277</v>
      </c>
      <c r="W109" s="15">
        <v>22187</v>
      </c>
      <c r="X109" s="15">
        <v>24837</v>
      </c>
      <c r="Y109" s="15">
        <v>26468</v>
      </c>
      <c r="Z109" s="15">
        <v>27599</v>
      </c>
      <c r="AA109" s="176">
        <v>29241.06</v>
      </c>
      <c r="AB109" s="176">
        <v>31025.51</v>
      </c>
      <c r="AC109" s="176">
        <v>33508.26</v>
      </c>
      <c r="AD109" s="176">
        <v>35414.660000000003</v>
      </c>
      <c r="AE109" s="176">
        <v>34997.96</v>
      </c>
      <c r="AF109" s="176">
        <v>34883.78</v>
      </c>
      <c r="AG109" s="176">
        <v>33779.699999999997</v>
      </c>
      <c r="AH109" s="191">
        <v>30681.56</v>
      </c>
      <c r="AI109" s="191">
        <v>28739.45</v>
      </c>
      <c r="AJ109" s="191">
        <v>27518</v>
      </c>
      <c r="AK109" s="199">
        <v>29774</v>
      </c>
      <c r="AL109" s="191"/>
    </row>
    <row r="110" spans="1:38">
      <c r="A110" s="6" t="s">
        <v>11</v>
      </c>
      <c r="B110" s="6"/>
      <c r="C110" s="6"/>
      <c r="D110" s="6"/>
      <c r="E110" s="6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15"/>
      <c r="X110" s="15"/>
      <c r="Y110" s="15"/>
      <c r="Z110" s="15"/>
      <c r="AA110" s="176">
        <v>0</v>
      </c>
      <c r="AB110" s="176">
        <v>0</v>
      </c>
      <c r="AC110" s="176">
        <v>0</v>
      </c>
      <c r="AD110" s="176">
        <v>0</v>
      </c>
      <c r="AE110" s="176">
        <v>0</v>
      </c>
      <c r="AF110" s="176">
        <v>0</v>
      </c>
      <c r="AG110" s="176">
        <v>0</v>
      </c>
      <c r="AH110" s="191">
        <v>0</v>
      </c>
      <c r="AI110" s="191">
        <v>0</v>
      </c>
      <c r="AJ110" s="191">
        <v>0</v>
      </c>
      <c r="AK110" s="199">
        <v>0</v>
      </c>
      <c r="AL110" s="191"/>
    </row>
    <row r="111" spans="1:38">
      <c r="A111" s="6" t="s">
        <v>22</v>
      </c>
      <c r="B111" s="6"/>
      <c r="C111" s="6"/>
      <c r="D111" s="6"/>
      <c r="E111" s="6"/>
      <c r="F111" s="9">
        <v>6137</v>
      </c>
      <c r="G111" s="9">
        <v>5689</v>
      </c>
      <c r="H111" s="9">
        <v>5289</v>
      </c>
      <c r="I111" s="9">
        <v>5596</v>
      </c>
      <c r="J111" s="9">
        <v>5536</v>
      </c>
      <c r="K111" s="9">
        <v>5718</v>
      </c>
      <c r="L111" s="9">
        <v>5720</v>
      </c>
      <c r="M111" s="9">
        <v>5564</v>
      </c>
      <c r="N111" s="9">
        <v>5814</v>
      </c>
      <c r="O111" s="9">
        <v>6751</v>
      </c>
      <c r="P111" s="9">
        <v>6847</v>
      </c>
      <c r="Q111" s="9">
        <v>6646</v>
      </c>
      <c r="R111" s="9">
        <v>6062</v>
      </c>
      <c r="S111" s="9">
        <v>5990</v>
      </c>
      <c r="T111" s="9">
        <v>6377</v>
      </c>
      <c r="U111" s="9">
        <v>6271</v>
      </c>
      <c r="V111" s="9">
        <v>7520</v>
      </c>
      <c r="W111" s="15">
        <v>7182</v>
      </c>
      <c r="X111" s="15">
        <v>7353</v>
      </c>
      <c r="Y111" s="15">
        <v>8165</v>
      </c>
      <c r="Z111" s="15">
        <v>8307</v>
      </c>
      <c r="AA111" s="176">
        <v>9583.07</v>
      </c>
      <c r="AB111" s="176">
        <v>9991.84</v>
      </c>
      <c r="AC111" s="176">
        <v>10043.01</v>
      </c>
      <c r="AD111" s="176">
        <v>9969.48</v>
      </c>
      <c r="AE111" s="176">
        <v>9235.7420000000002</v>
      </c>
      <c r="AF111" s="176">
        <v>7811.1350000000002</v>
      </c>
      <c r="AG111" s="176">
        <v>7666.7060000000001</v>
      </c>
      <c r="AH111" s="191">
        <v>7346.2330000000002</v>
      </c>
      <c r="AI111" s="191">
        <f>3969.6+3523.2</f>
        <v>7492.7999999999993</v>
      </c>
      <c r="AJ111" s="191">
        <v>8670</v>
      </c>
      <c r="AK111" s="199">
        <v>8944</v>
      </c>
      <c r="AL111" s="191"/>
    </row>
    <row r="112" spans="1:38">
      <c r="A112" s="6"/>
      <c r="B112" s="6"/>
      <c r="C112" s="6"/>
      <c r="D112" s="6"/>
      <c r="E112" s="6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</row>
    <row r="113" spans="1:38">
      <c r="A113" s="7" t="s">
        <v>20</v>
      </c>
      <c r="B113" s="7"/>
      <c r="C113" s="7"/>
      <c r="D113" s="7"/>
      <c r="E113" s="7"/>
      <c r="F113" s="7">
        <f t="shared" ref="F113:AG113" si="118">F95+F101+F107</f>
        <v>73631</v>
      </c>
      <c r="G113" s="7">
        <f t="shared" si="118"/>
        <v>72096</v>
      </c>
      <c r="H113" s="7">
        <f t="shared" si="118"/>
        <v>69563</v>
      </c>
      <c r="I113" s="7">
        <f t="shared" si="118"/>
        <v>70927</v>
      </c>
      <c r="J113" s="7">
        <f t="shared" si="118"/>
        <v>70183</v>
      </c>
      <c r="K113" s="7">
        <f t="shared" si="118"/>
        <v>70224</v>
      </c>
      <c r="L113" s="7">
        <f t="shared" si="118"/>
        <v>71798</v>
      </c>
      <c r="M113" s="7">
        <f t="shared" si="118"/>
        <v>72415</v>
      </c>
      <c r="N113" s="7">
        <f t="shared" si="118"/>
        <v>80083</v>
      </c>
      <c r="O113" s="7">
        <f t="shared" si="118"/>
        <v>83782</v>
      </c>
      <c r="P113" s="7">
        <f t="shared" si="118"/>
        <v>83488</v>
      </c>
      <c r="Q113" s="7">
        <f t="shared" si="118"/>
        <v>81602</v>
      </c>
      <c r="R113" s="7">
        <f t="shared" si="118"/>
        <v>77876</v>
      </c>
      <c r="S113" s="7">
        <f t="shared" si="118"/>
        <v>75782</v>
      </c>
      <c r="T113" s="7">
        <f t="shared" si="118"/>
        <v>77216</v>
      </c>
      <c r="U113" s="7">
        <f t="shared" si="118"/>
        <v>80869</v>
      </c>
      <c r="V113" s="7">
        <f t="shared" si="118"/>
        <v>87533</v>
      </c>
      <c r="W113" s="7">
        <f t="shared" si="118"/>
        <v>92765</v>
      </c>
      <c r="X113" s="7">
        <f t="shared" si="118"/>
        <v>99470</v>
      </c>
      <c r="Y113" s="7">
        <f t="shared" si="118"/>
        <v>108868</v>
      </c>
      <c r="Z113" s="7">
        <f t="shared" si="118"/>
        <v>116401</v>
      </c>
      <c r="AA113" s="7">
        <f t="shared" si="118"/>
        <v>122868.5</v>
      </c>
      <c r="AB113" s="7">
        <f t="shared" si="118"/>
        <v>131434.29999999999</v>
      </c>
      <c r="AC113" s="7">
        <f t="shared" si="118"/>
        <v>137123.29</v>
      </c>
      <c r="AD113" s="7">
        <f t="shared" si="118"/>
        <v>140100.15999999997</v>
      </c>
      <c r="AE113" s="7">
        <f t="shared" ref="AE113:AF113" si="119">AE95+AE101+AE107</f>
        <v>139554.628</v>
      </c>
      <c r="AF113" s="7">
        <f t="shared" si="119"/>
        <v>129465.495</v>
      </c>
      <c r="AG113" s="7">
        <f t="shared" si="118"/>
        <v>126168.76899999999</v>
      </c>
      <c r="AH113" s="7">
        <f t="shared" ref="AH113:AK113" si="120">AH95+AH101+AH107</f>
        <v>112147.389</v>
      </c>
      <c r="AI113" s="7">
        <f t="shared" ref="AI113:AJ113" si="121">AI95+AI101+AI107</f>
        <v>108925.02</v>
      </c>
      <c r="AJ113" s="7">
        <f t="shared" si="121"/>
        <v>113951</v>
      </c>
      <c r="AK113" s="7">
        <f t="shared" si="120"/>
        <v>114732</v>
      </c>
      <c r="AL113" s="7"/>
    </row>
    <row r="114" spans="1:38">
      <c r="A114" s="8" t="s">
        <v>1</v>
      </c>
      <c r="B114" s="8"/>
      <c r="C114" s="7"/>
      <c r="D114" s="7"/>
      <c r="E114" s="7"/>
      <c r="F114" s="7">
        <f t="shared" ref="F114:AG114" si="122">F96+F102+F108</f>
        <v>21403</v>
      </c>
      <c r="G114" s="7">
        <f t="shared" si="122"/>
        <v>19664</v>
      </c>
      <c r="H114" s="7">
        <f t="shared" si="122"/>
        <v>20135</v>
      </c>
      <c r="I114" s="7">
        <f t="shared" si="122"/>
        <v>20776</v>
      </c>
      <c r="J114" s="7">
        <f t="shared" si="122"/>
        <v>20534</v>
      </c>
      <c r="K114" s="7">
        <f t="shared" si="122"/>
        <v>20936</v>
      </c>
      <c r="L114" s="7">
        <f t="shared" si="122"/>
        <v>21761</v>
      </c>
      <c r="M114" s="7">
        <f t="shared" si="122"/>
        <v>22843</v>
      </c>
      <c r="N114" s="7">
        <f t="shared" si="122"/>
        <v>24283</v>
      </c>
      <c r="O114" s="7">
        <f t="shared" si="122"/>
        <v>25864</v>
      </c>
      <c r="P114" s="7">
        <f t="shared" si="122"/>
        <v>23378</v>
      </c>
      <c r="Q114" s="7">
        <f t="shared" si="122"/>
        <v>23597</v>
      </c>
      <c r="R114" s="7">
        <f t="shared" si="122"/>
        <v>21798</v>
      </c>
      <c r="S114" s="7">
        <f t="shared" si="122"/>
        <v>20970</v>
      </c>
      <c r="T114" s="7">
        <f t="shared" si="122"/>
        <v>23155</v>
      </c>
      <c r="U114" s="7">
        <f t="shared" si="122"/>
        <v>24913</v>
      </c>
      <c r="V114" s="7">
        <f t="shared" si="122"/>
        <v>26266</v>
      </c>
      <c r="W114" s="7">
        <f t="shared" si="122"/>
        <v>29591</v>
      </c>
      <c r="X114" s="7">
        <f t="shared" si="122"/>
        <v>33454</v>
      </c>
      <c r="Y114" s="7">
        <f t="shared" si="122"/>
        <v>36546</v>
      </c>
      <c r="Z114" s="7">
        <f t="shared" si="122"/>
        <v>39931</v>
      </c>
      <c r="AA114" s="7">
        <f t="shared" si="122"/>
        <v>40899</v>
      </c>
      <c r="AB114" s="7">
        <f t="shared" si="122"/>
        <v>43910.600000000006</v>
      </c>
      <c r="AC114" s="7">
        <f t="shared" si="122"/>
        <v>45737</v>
      </c>
      <c r="AD114" s="7">
        <f t="shared" si="122"/>
        <v>44500.869999999995</v>
      </c>
      <c r="AE114" s="7">
        <f t="shared" ref="AE114:AF114" si="123">AE96+AE102+AE108</f>
        <v>44226.396999999997</v>
      </c>
      <c r="AF114" s="7">
        <f t="shared" si="123"/>
        <v>40164.695999999996</v>
      </c>
      <c r="AG114" s="7">
        <f t="shared" si="122"/>
        <v>37579.831999999995</v>
      </c>
      <c r="AH114" s="7">
        <f t="shared" ref="AH114:AK114" si="124">AH96+AH102+AH108</f>
        <v>33788.033000000003</v>
      </c>
      <c r="AI114" s="7">
        <f t="shared" ref="AI114:AJ114" si="125">AI96+AI102+AI108</f>
        <v>34837.770000000004</v>
      </c>
      <c r="AJ114" s="7">
        <f t="shared" si="125"/>
        <v>40443</v>
      </c>
      <c r="AK114" s="7">
        <f t="shared" si="124"/>
        <v>39066</v>
      </c>
      <c r="AL114" s="7"/>
    </row>
    <row r="115" spans="1:38">
      <c r="A115" s="8" t="s">
        <v>2</v>
      </c>
      <c r="B115" s="8"/>
      <c r="C115" s="7"/>
      <c r="D115" s="7"/>
      <c r="E115" s="7"/>
      <c r="F115" s="7">
        <f t="shared" ref="F115:AG115" si="126">F97+F103+F109</f>
        <v>38338</v>
      </c>
      <c r="G115" s="7">
        <f t="shared" si="126"/>
        <v>39167</v>
      </c>
      <c r="H115" s="7">
        <f t="shared" si="126"/>
        <v>37166</v>
      </c>
      <c r="I115" s="7">
        <f t="shared" si="126"/>
        <v>37677</v>
      </c>
      <c r="J115" s="7">
        <f t="shared" si="126"/>
        <v>37091</v>
      </c>
      <c r="K115" s="7">
        <f t="shared" si="126"/>
        <v>36645</v>
      </c>
      <c r="L115" s="7">
        <f t="shared" si="126"/>
        <v>37147</v>
      </c>
      <c r="M115" s="7">
        <f t="shared" si="126"/>
        <v>36555</v>
      </c>
      <c r="N115" s="7">
        <f t="shared" si="126"/>
        <v>42511</v>
      </c>
      <c r="O115" s="7">
        <f t="shared" si="126"/>
        <v>43385</v>
      </c>
      <c r="P115" s="7">
        <f t="shared" si="126"/>
        <v>44460</v>
      </c>
      <c r="Q115" s="7">
        <f t="shared" si="126"/>
        <v>42716</v>
      </c>
      <c r="R115" s="7">
        <f t="shared" si="126"/>
        <v>41942</v>
      </c>
      <c r="S115" s="7">
        <f t="shared" si="126"/>
        <v>40978</v>
      </c>
      <c r="T115" s="7">
        <f t="shared" si="126"/>
        <v>39169</v>
      </c>
      <c r="U115" s="7">
        <f t="shared" si="126"/>
        <v>40726</v>
      </c>
      <c r="V115" s="7">
        <f t="shared" si="126"/>
        <v>44217</v>
      </c>
      <c r="W115" s="7">
        <f t="shared" si="126"/>
        <v>45993</v>
      </c>
      <c r="X115" s="7">
        <f t="shared" si="126"/>
        <v>50529</v>
      </c>
      <c r="Y115" s="7">
        <f t="shared" si="126"/>
        <v>54838</v>
      </c>
      <c r="Z115" s="7">
        <f t="shared" si="126"/>
        <v>57950</v>
      </c>
      <c r="AA115" s="7">
        <f t="shared" si="126"/>
        <v>61215.42</v>
      </c>
      <c r="AB115" s="7">
        <f t="shared" si="126"/>
        <v>65505.989999999991</v>
      </c>
      <c r="AC115" s="7">
        <f t="shared" si="126"/>
        <v>69491.61</v>
      </c>
      <c r="AD115" s="7">
        <f t="shared" si="126"/>
        <v>73602.880000000005</v>
      </c>
      <c r="AE115" s="7">
        <f t="shared" ref="AE115:AF115" si="127">AE97+AE103+AE109</f>
        <v>75076.597999999998</v>
      </c>
      <c r="AF115" s="7">
        <f t="shared" si="127"/>
        <v>72241.91</v>
      </c>
      <c r="AG115" s="7">
        <f t="shared" si="126"/>
        <v>71888.097999999998</v>
      </c>
      <c r="AH115" s="7">
        <f t="shared" ref="AH115:AK115" si="128">AH97+AH103+AH109</f>
        <v>63000.847999999998</v>
      </c>
      <c r="AI115" s="7">
        <f t="shared" ref="AI115:AJ115" si="129">AI97+AI103+AI109</f>
        <v>58343.45</v>
      </c>
      <c r="AJ115" s="7">
        <f t="shared" si="129"/>
        <v>55131</v>
      </c>
      <c r="AK115" s="7">
        <f t="shared" si="128"/>
        <v>57040</v>
      </c>
      <c r="AL115" s="7"/>
    </row>
    <row r="116" spans="1:38">
      <c r="A116" s="6" t="s">
        <v>11</v>
      </c>
      <c r="B116" s="6"/>
      <c r="C116" s="6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>
        <f t="shared" ref="AA116:AG117" si="130">AA98+AA104+AA110</f>
        <v>12.96</v>
      </c>
      <c r="AB116" s="7">
        <f t="shared" si="130"/>
        <v>11.16</v>
      </c>
      <c r="AC116" s="7">
        <f t="shared" si="130"/>
        <v>17.64</v>
      </c>
      <c r="AD116" s="7">
        <f t="shared" si="130"/>
        <v>19.149999999999999</v>
      </c>
      <c r="AE116" s="7">
        <f t="shared" ref="AE116:AF116" si="131">AE98+AE104+AE110</f>
        <v>16.920000000000002</v>
      </c>
      <c r="AF116" s="7">
        <f t="shared" si="131"/>
        <v>12.24</v>
      </c>
      <c r="AG116" s="7">
        <f t="shared" si="130"/>
        <v>0</v>
      </c>
      <c r="AH116" s="7">
        <f t="shared" ref="AH116:AK116" si="132">AH98+AH104+AH110</f>
        <v>0</v>
      </c>
      <c r="AI116" s="7">
        <f t="shared" ref="AI116:AJ116" si="133">AI98+AI104+AI110</f>
        <v>0</v>
      </c>
      <c r="AJ116" s="7">
        <f t="shared" si="133"/>
        <v>0</v>
      </c>
      <c r="AK116" s="7">
        <f t="shared" si="132"/>
        <v>0</v>
      </c>
      <c r="AL116" s="7"/>
    </row>
    <row r="117" spans="1:38">
      <c r="A117" s="8" t="s">
        <v>22</v>
      </c>
      <c r="B117" s="8"/>
      <c r="C117" s="7"/>
      <c r="D117" s="7"/>
      <c r="E117" s="7"/>
      <c r="F117" s="7">
        <f t="shared" ref="F117:Z117" si="134">F99+F105+F111</f>
        <v>13890</v>
      </c>
      <c r="G117" s="7">
        <f t="shared" si="134"/>
        <v>13265</v>
      </c>
      <c r="H117" s="7">
        <f t="shared" si="134"/>
        <v>12262</v>
      </c>
      <c r="I117" s="7">
        <f t="shared" si="134"/>
        <v>12474</v>
      </c>
      <c r="J117" s="7">
        <f t="shared" si="134"/>
        <v>12558</v>
      </c>
      <c r="K117" s="7">
        <f t="shared" si="134"/>
        <v>12643</v>
      </c>
      <c r="L117" s="7">
        <f t="shared" si="134"/>
        <v>12890</v>
      </c>
      <c r="M117" s="7">
        <f t="shared" si="134"/>
        <v>13017</v>
      </c>
      <c r="N117" s="7">
        <f t="shared" si="134"/>
        <v>13289</v>
      </c>
      <c r="O117" s="7">
        <f t="shared" si="134"/>
        <v>14533</v>
      </c>
      <c r="P117" s="7">
        <f t="shared" si="134"/>
        <v>15650</v>
      </c>
      <c r="Q117" s="7">
        <f t="shared" si="134"/>
        <v>15289</v>
      </c>
      <c r="R117" s="7">
        <f t="shared" si="134"/>
        <v>14136</v>
      </c>
      <c r="S117" s="7">
        <f t="shared" si="134"/>
        <v>13834</v>
      </c>
      <c r="T117" s="7">
        <f t="shared" si="134"/>
        <v>14892</v>
      </c>
      <c r="U117" s="7">
        <f t="shared" si="134"/>
        <v>15230</v>
      </c>
      <c r="V117" s="7">
        <f t="shared" si="134"/>
        <v>17050</v>
      </c>
      <c r="W117" s="7">
        <f t="shared" si="134"/>
        <v>17181</v>
      </c>
      <c r="X117" s="7">
        <f t="shared" si="134"/>
        <v>15487</v>
      </c>
      <c r="Y117" s="7">
        <f t="shared" si="134"/>
        <v>17484</v>
      </c>
      <c r="Z117" s="7">
        <f t="shared" si="134"/>
        <v>18520</v>
      </c>
      <c r="AA117" s="7">
        <f t="shared" si="130"/>
        <v>20741.120000000003</v>
      </c>
      <c r="AB117" s="7">
        <f t="shared" si="130"/>
        <v>22006.550000000003</v>
      </c>
      <c r="AC117" s="7">
        <f t="shared" si="130"/>
        <v>21877.040000000001</v>
      </c>
      <c r="AD117" s="7">
        <f t="shared" si="130"/>
        <v>21977.260000000002</v>
      </c>
      <c r="AE117" s="7">
        <f t="shared" ref="AE117:AF117" si="135">AE99+AE105+AE111</f>
        <v>20234.713000000003</v>
      </c>
      <c r="AF117" s="7">
        <f t="shared" si="135"/>
        <v>17046.648999999998</v>
      </c>
      <c r="AG117" s="7">
        <f t="shared" si="130"/>
        <v>16700.839</v>
      </c>
      <c r="AH117" s="7">
        <f t="shared" ref="AH117:AK117" si="136">AH99+AH105+AH111</f>
        <v>15358.508</v>
      </c>
      <c r="AI117" s="7">
        <f t="shared" ref="AI117:AJ117" si="137">AI99+AI105+AI111</f>
        <v>15743.8</v>
      </c>
      <c r="AJ117" s="7">
        <f t="shared" si="137"/>
        <v>18377</v>
      </c>
      <c r="AK117" s="7">
        <f t="shared" si="136"/>
        <v>18626</v>
      </c>
      <c r="AL117" s="7"/>
    </row>
    <row r="118" spans="1:38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</row>
    <row r="119" spans="1:38" ht="13.5" hidden="1" thickBot="1">
      <c r="A119" s="25" t="s">
        <v>12</v>
      </c>
      <c r="B119" s="25"/>
      <c r="C119" s="25"/>
      <c r="D119" s="26"/>
      <c r="E119" s="26"/>
      <c r="F119" s="26" t="s">
        <v>13</v>
      </c>
      <c r="G119" s="26" t="s">
        <v>14</v>
      </c>
      <c r="H119" s="26" t="s">
        <v>15</v>
      </c>
      <c r="I119" s="26" t="s">
        <v>16</v>
      </c>
      <c r="J119" s="26" t="s">
        <v>21</v>
      </c>
      <c r="K119" s="26" t="s">
        <v>23</v>
      </c>
      <c r="L119" s="26" t="s">
        <v>24</v>
      </c>
      <c r="M119" s="26" t="s">
        <v>38</v>
      </c>
      <c r="N119" s="26" t="s">
        <v>44</v>
      </c>
      <c r="O119" s="26" t="s">
        <v>45</v>
      </c>
      <c r="P119" s="26" t="s">
        <v>46</v>
      </c>
      <c r="Q119" s="26" t="s">
        <v>50</v>
      </c>
      <c r="R119" s="27" t="s">
        <v>53</v>
      </c>
      <c r="S119" s="27" t="s">
        <v>55</v>
      </c>
      <c r="T119" s="27" t="s">
        <v>58</v>
      </c>
      <c r="U119" s="27" t="s">
        <v>60</v>
      </c>
      <c r="V119" s="27" t="s">
        <v>63</v>
      </c>
      <c r="W119" s="27" t="s">
        <v>65</v>
      </c>
      <c r="X119" s="27" t="s">
        <v>67</v>
      </c>
      <c r="Y119" s="27" t="s">
        <v>69</v>
      </c>
      <c r="Z119" s="27" t="s">
        <v>69</v>
      </c>
      <c r="AA119" s="27" t="s">
        <v>69</v>
      </c>
      <c r="AB119" s="27" t="s">
        <v>69</v>
      </c>
      <c r="AC119" s="27" t="s">
        <v>69</v>
      </c>
      <c r="AD119" s="27" t="s">
        <v>69</v>
      </c>
      <c r="AE119" s="27" t="s">
        <v>69</v>
      </c>
      <c r="AF119" s="27" t="s">
        <v>69</v>
      </c>
      <c r="AG119" s="27" t="s">
        <v>69</v>
      </c>
      <c r="AH119" s="190"/>
      <c r="AI119" s="190"/>
      <c r="AJ119" s="190"/>
      <c r="AK119" s="190"/>
      <c r="AL119" s="190"/>
    </row>
    <row r="120" spans="1:38" hidden="1">
      <c r="A120" s="16" t="s">
        <v>8</v>
      </c>
      <c r="B120" s="7"/>
      <c r="C120" s="7"/>
      <c r="D120" s="7"/>
      <c r="E120" s="7"/>
      <c r="F120" s="7">
        <f t="shared" ref="F120:AG120" si="138">F121+F126+F131</f>
        <v>33406</v>
      </c>
      <c r="G120" s="7">
        <f t="shared" si="138"/>
        <v>33678</v>
      </c>
      <c r="H120" s="7">
        <f t="shared" si="138"/>
        <v>33567</v>
      </c>
      <c r="I120" s="7">
        <f t="shared" si="138"/>
        <v>33653</v>
      </c>
      <c r="J120" s="7">
        <f t="shared" si="138"/>
        <v>33711</v>
      </c>
      <c r="K120" s="7">
        <f t="shared" si="138"/>
        <v>33736</v>
      </c>
      <c r="L120" s="7">
        <f t="shared" si="138"/>
        <v>34400</v>
      </c>
      <c r="M120" s="7">
        <f t="shared" si="138"/>
        <v>36033</v>
      </c>
      <c r="N120" s="7">
        <f t="shared" si="138"/>
        <v>37109</v>
      </c>
      <c r="O120" s="7">
        <f t="shared" si="138"/>
        <v>36080</v>
      </c>
      <c r="P120" s="7">
        <f t="shared" si="138"/>
        <v>35234</v>
      </c>
      <c r="Q120" s="7">
        <f t="shared" si="138"/>
        <v>34420</v>
      </c>
      <c r="R120" s="23">
        <f t="shared" si="138"/>
        <v>0</v>
      </c>
      <c r="S120" s="23">
        <f t="shared" si="138"/>
        <v>0</v>
      </c>
      <c r="T120" s="23">
        <f t="shared" si="138"/>
        <v>0</v>
      </c>
      <c r="U120" s="23">
        <f t="shared" si="138"/>
        <v>0</v>
      </c>
      <c r="V120" s="23">
        <f t="shared" si="138"/>
        <v>0</v>
      </c>
      <c r="W120" s="23">
        <f t="shared" si="138"/>
        <v>0</v>
      </c>
      <c r="X120" s="23">
        <f t="shared" si="138"/>
        <v>0</v>
      </c>
      <c r="Y120" s="23">
        <f t="shared" si="138"/>
        <v>0</v>
      </c>
      <c r="Z120" s="23">
        <f t="shared" si="138"/>
        <v>0</v>
      </c>
      <c r="AA120" s="23">
        <f t="shared" si="138"/>
        <v>0</v>
      </c>
      <c r="AB120" s="23">
        <f t="shared" si="138"/>
        <v>0</v>
      </c>
      <c r="AC120" s="23">
        <f t="shared" si="138"/>
        <v>0</v>
      </c>
      <c r="AD120" s="23">
        <f t="shared" si="138"/>
        <v>0</v>
      </c>
      <c r="AE120" s="23">
        <f t="shared" ref="AE120:AF120" si="139">AE121+AE126+AE131</f>
        <v>0</v>
      </c>
      <c r="AF120" s="23">
        <f t="shared" si="139"/>
        <v>0</v>
      </c>
      <c r="AG120" s="23">
        <f t="shared" si="138"/>
        <v>0</v>
      </c>
      <c r="AH120" s="23"/>
      <c r="AI120" s="23"/>
      <c r="AJ120" s="23"/>
      <c r="AK120" s="23"/>
      <c r="AL120" s="23"/>
    </row>
    <row r="121" spans="1:38" hidden="1">
      <c r="A121" s="7" t="s">
        <v>17</v>
      </c>
      <c r="B121" s="7"/>
      <c r="C121" s="7"/>
      <c r="D121" s="7"/>
      <c r="E121" s="7"/>
      <c r="F121" s="7">
        <f t="shared" ref="F121:AG121" si="140">F122+F123+F124</f>
        <v>2248</v>
      </c>
      <c r="G121" s="7">
        <f t="shared" si="140"/>
        <v>2367</v>
      </c>
      <c r="H121" s="7">
        <f t="shared" si="140"/>
        <v>2536</v>
      </c>
      <c r="I121" s="7">
        <f t="shared" si="140"/>
        <v>2467</v>
      </c>
      <c r="J121" s="7">
        <f t="shared" si="140"/>
        <v>2597</v>
      </c>
      <c r="K121" s="7">
        <f t="shared" si="140"/>
        <v>2244</v>
      </c>
      <c r="L121" s="7">
        <f t="shared" si="140"/>
        <v>2189</v>
      </c>
      <c r="M121" s="7">
        <f t="shared" si="140"/>
        <v>2244</v>
      </c>
      <c r="N121" s="7">
        <f t="shared" si="140"/>
        <v>2405</v>
      </c>
      <c r="O121" s="7">
        <f t="shared" si="140"/>
        <v>2489</v>
      </c>
      <c r="P121" s="7">
        <f t="shared" si="140"/>
        <v>2515</v>
      </c>
      <c r="Q121" s="7">
        <f t="shared" si="140"/>
        <v>2643</v>
      </c>
      <c r="R121" s="23">
        <f t="shared" si="140"/>
        <v>0</v>
      </c>
      <c r="S121" s="23">
        <f t="shared" si="140"/>
        <v>0</v>
      </c>
      <c r="T121" s="23">
        <f t="shared" si="140"/>
        <v>0</v>
      </c>
      <c r="U121" s="23">
        <f t="shared" si="140"/>
        <v>0</v>
      </c>
      <c r="V121" s="23">
        <f t="shared" si="140"/>
        <v>0</v>
      </c>
      <c r="W121" s="23">
        <f t="shared" si="140"/>
        <v>0</v>
      </c>
      <c r="X121" s="23">
        <f t="shared" si="140"/>
        <v>0</v>
      </c>
      <c r="Y121" s="23">
        <f t="shared" si="140"/>
        <v>0</v>
      </c>
      <c r="Z121" s="23">
        <f t="shared" si="140"/>
        <v>0</v>
      </c>
      <c r="AA121" s="23">
        <f t="shared" si="140"/>
        <v>0</v>
      </c>
      <c r="AB121" s="23">
        <f t="shared" si="140"/>
        <v>0</v>
      </c>
      <c r="AC121" s="23">
        <f t="shared" si="140"/>
        <v>0</v>
      </c>
      <c r="AD121" s="23">
        <f t="shared" si="140"/>
        <v>0</v>
      </c>
      <c r="AE121" s="23">
        <f t="shared" ref="AE121:AF121" si="141">AE122+AE123+AE124</f>
        <v>0</v>
      </c>
      <c r="AF121" s="23">
        <f t="shared" si="141"/>
        <v>0</v>
      </c>
      <c r="AG121" s="23">
        <f t="shared" si="140"/>
        <v>0</v>
      </c>
      <c r="AH121" s="23"/>
      <c r="AI121" s="23"/>
      <c r="AJ121" s="23"/>
      <c r="AK121" s="23"/>
      <c r="AL121" s="23"/>
    </row>
    <row r="122" spans="1:38" hidden="1">
      <c r="A122" s="6" t="s">
        <v>1</v>
      </c>
      <c r="B122" s="6"/>
      <c r="C122" s="6"/>
      <c r="D122" s="6"/>
      <c r="E122" s="6"/>
      <c r="F122" s="9">
        <v>525</v>
      </c>
      <c r="G122" s="9">
        <f>411</f>
        <v>411</v>
      </c>
      <c r="H122" s="9">
        <v>480</v>
      </c>
      <c r="I122" s="9">
        <v>492</v>
      </c>
      <c r="J122" s="9">
        <v>582</v>
      </c>
      <c r="K122" s="9">
        <v>432</v>
      </c>
      <c r="L122" s="9">
        <v>515</v>
      </c>
      <c r="M122" s="9">
        <v>570</v>
      </c>
      <c r="N122" s="9">
        <v>648</v>
      </c>
      <c r="O122" s="9">
        <v>539</v>
      </c>
      <c r="P122" s="9">
        <v>495</v>
      </c>
      <c r="Q122" s="9">
        <v>648</v>
      </c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</row>
    <row r="123" spans="1:38" hidden="1">
      <c r="A123" s="6" t="s">
        <v>2</v>
      </c>
      <c r="B123" s="6"/>
      <c r="C123" s="6"/>
      <c r="D123" s="6"/>
      <c r="E123" s="6"/>
      <c r="F123" s="9">
        <v>1297</v>
      </c>
      <c r="G123" s="9">
        <f>796+622</f>
        <v>1418</v>
      </c>
      <c r="H123" s="9">
        <f>607+815</f>
        <v>1422</v>
      </c>
      <c r="I123" s="9">
        <f>615+861</f>
        <v>1476</v>
      </c>
      <c r="J123" s="9">
        <f>503+1050</f>
        <v>1553</v>
      </c>
      <c r="K123" s="9">
        <v>1336</v>
      </c>
      <c r="L123" s="9">
        <v>1164</v>
      </c>
      <c r="M123" s="9">
        <v>1351</v>
      </c>
      <c r="N123" s="9">
        <v>1333</v>
      </c>
      <c r="O123" s="9">
        <v>1401</v>
      </c>
      <c r="P123" s="9">
        <v>1579</v>
      </c>
      <c r="Q123" s="9">
        <v>1504</v>
      </c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</row>
    <row r="124" spans="1:38" hidden="1">
      <c r="A124" s="6" t="s">
        <v>22</v>
      </c>
      <c r="B124" s="6"/>
      <c r="C124" s="6"/>
      <c r="D124" s="6"/>
      <c r="E124" s="6"/>
      <c r="F124" s="9">
        <v>426</v>
      </c>
      <c r="G124" s="9">
        <v>538</v>
      </c>
      <c r="H124" s="9">
        <v>634</v>
      </c>
      <c r="I124" s="9">
        <v>499</v>
      </c>
      <c r="J124" s="9">
        <v>462</v>
      </c>
      <c r="K124" s="9">
        <v>476</v>
      </c>
      <c r="L124" s="9">
        <v>510</v>
      </c>
      <c r="M124" s="9">
        <v>323</v>
      </c>
      <c r="N124" s="9">
        <v>424</v>
      </c>
      <c r="O124" s="9">
        <v>549</v>
      </c>
      <c r="P124" s="9">
        <v>441</v>
      </c>
      <c r="Q124" s="9">
        <v>491</v>
      </c>
      <c r="R124" s="24">
        <v>0</v>
      </c>
      <c r="S124" s="24">
        <v>0</v>
      </c>
      <c r="T124" s="24">
        <v>0</v>
      </c>
      <c r="U124" s="24">
        <v>0</v>
      </c>
      <c r="V124" s="24">
        <v>0</v>
      </c>
      <c r="W124" s="24">
        <v>0</v>
      </c>
      <c r="X124" s="24">
        <v>0</v>
      </c>
      <c r="Y124" s="24">
        <v>0</v>
      </c>
      <c r="Z124" s="24">
        <v>0</v>
      </c>
      <c r="AA124" s="24">
        <v>0</v>
      </c>
      <c r="AB124" s="24">
        <v>0</v>
      </c>
      <c r="AC124" s="24">
        <v>0</v>
      </c>
      <c r="AD124" s="24">
        <v>0</v>
      </c>
      <c r="AE124" s="24">
        <v>0</v>
      </c>
      <c r="AF124" s="24">
        <v>0</v>
      </c>
      <c r="AG124" s="24">
        <v>0</v>
      </c>
      <c r="AH124" s="24"/>
      <c r="AI124" s="24"/>
      <c r="AJ124" s="24"/>
      <c r="AK124" s="24"/>
      <c r="AL124" s="24"/>
    </row>
    <row r="125" spans="1:38" hidden="1">
      <c r="A125" s="6"/>
      <c r="B125" s="6"/>
      <c r="C125" s="6"/>
      <c r="D125" s="6"/>
      <c r="E125" s="6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</row>
    <row r="126" spans="1:38" hidden="1">
      <c r="A126" s="7" t="s">
        <v>18</v>
      </c>
      <c r="B126" s="7"/>
      <c r="C126" s="7"/>
      <c r="D126" s="7"/>
      <c r="E126" s="7"/>
      <c r="F126" s="7">
        <f t="shared" ref="F126:AG126" si="142">F127+F128+F129</f>
        <v>16016</v>
      </c>
      <c r="G126" s="7">
        <f t="shared" si="142"/>
        <v>15908</v>
      </c>
      <c r="H126" s="7">
        <f t="shared" si="142"/>
        <v>15973</v>
      </c>
      <c r="I126" s="7">
        <f t="shared" si="142"/>
        <v>15974</v>
      </c>
      <c r="J126" s="7">
        <f t="shared" si="142"/>
        <v>16125</v>
      </c>
      <c r="K126" s="7">
        <f t="shared" si="142"/>
        <v>15916</v>
      </c>
      <c r="L126" s="7">
        <f t="shared" si="142"/>
        <v>16443</v>
      </c>
      <c r="M126" s="7">
        <f t="shared" si="142"/>
        <v>17411</v>
      </c>
      <c r="N126" s="7">
        <f t="shared" si="142"/>
        <v>17716</v>
      </c>
      <c r="O126" s="7">
        <f t="shared" si="142"/>
        <v>17230</v>
      </c>
      <c r="P126" s="7">
        <f t="shared" si="142"/>
        <v>16441</v>
      </c>
      <c r="Q126" s="7">
        <f t="shared" si="142"/>
        <v>15598</v>
      </c>
      <c r="R126" s="23">
        <f t="shared" si="142"/>
        <v>0</v>
      </c>
      <c r="S126" s="23">
        <f t="shared" si="142"/>
        <v>0</v>
      </c>
      <c r="T126" s="23">
        <f t="shared" si="142"/>
        <v>0</v>
      </c>
      <c r="U126" s="23">
        <f t="shared" si="142"/>
        <v>0</v>
      </c>
      <c r="V126" s="23">
        <f t="shared" si="142"/>
        <v>0</v>
      </c>
      <c r="W126" s="23">
        <f t="shared" si="142"/>
        <v>0</v>
      </c>
      <c r="X126" s="23">
        <f t="shared" si="142"/>
        <v>0</v>
      </c>
      <c r="Y126" s="23">
        <f t="shared" si="142"/>
        <v>0</v>
      </c>
      <c r="Z126" s="23">
        <f t="shared" si="142"/>
        <v>0</v>
      </c>
      <c r="AA126" s="23">
        <f t="shared" si="142"/>
        <v>0</v>
      </c>
      <c r="AB126" s="23">
        <f t="shared" si="142"/>
        <v>0</v>
      </c>
      <c r="AC126" s="23">
        <f t="shared" si="142"/>
        <v>0</v>
      </c>
      <c r="AD126" s="23">
        <f t="shared" si="142"/>
        <v>0</v>
      </c>
      <c r="AE126" s="23">
        <f t="shared" ref="AE126:AF126" si="143">AE127+AE128+AE129</f>
        <v>0</v>
      </c>
      <c r="AF126" s="23">
        <f t="shared" si="143"/>
        <v>0</v>
      </c>
      <c r="AG126" s="23">
        <f t="shared" si="142"/>
        <v>0</v>
      </c>
      <c r="AH126" s="23"/>
      <c r="AI126" s="23"/>
      <c r="AJ126" s="23"/>
      <c r="AK126" s="23"/>
      <c r="AL126" s="23"/>
    </row>
    <row r="127" spans="1:38" hidden="1">
      <c r="A127" s="6" t="s">
        <v>1</v>
      </c>
      <c r="B127" s="6"/>
      <c r="C127" s="6"/>
      <c r="D127" s="6"/>
      <c r="E127" s="6"/>
      <c r="F127" s="9">
        <v>7987</v>
      </c>
      <c r="G127" s="9">
        <f>7631</f>
        <v>7631</v>
      </c>
      <c r="H127" s="9">
        <v>7800</v>
      </c>
      <c r="I127" s="9">
        <v>8301</v>
      </c>
      <c r="J127" s="9">
        <v>8411</v>
      </c>
      <c r="K127" s="9">
        <v>8285</v>
      </c>
      <c r="L127" s="9">
        <v>8785</v>
      </c>
      <c r="M127" s="9">
        <v>9232</v>
      </c>
      <c r="N127" s="9">
        <v>9819</v>
      </c>
      <c r="O127" s="9">
        <v>9025</v>
      </c>
      <c r="P127" s="9">
        <v>8455</v>
      </c>
      <c r="Q127" s="9">
        <v>7669</v>
      </c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</row>
    <row r="128" spans="1:38" hidden="1">
      <c r="A128" s="6" t="s">
        <v>2</v>
      </c>
      <c r="B128" s="6"/>
      <c r="C128" s="6"/>
      <c r="D128" s="6"/>
      <c r="E128" s="6"/>
      <c r="F128" s="9">
        <v>6447</v>
      </c>
      <c r="G128" s="9">
        <f>6073+606</f>
        <v>6679</v>
      </c>
      <c r="H128" s="9">
        <f>5870+763</f>
        <v>6633</v>
      </c>
      <c r="I128" s="9">
        <f>5640+608</f>
        <v>6248</v>
      </c>
      <c r="J128" s="9">
        <f>5788+614</f>
        <v>6402</v>
      </c>
      <c r="K128" s="9">
        <v>6323</v>
      </c>
      <c r="L128" s="9">
        <v>6595</v>
      </c>
      <c r="M128" s="9">
        <v>7013</v>
      </c>
      <c r="N128" s="9">
        <v>6875</v>
      </c>
      <c r="O128" s="9">
        <v>6920</v>
      </c>
      <c r="P128" s="9">
        <v>6836</v>
      </c>
      <c r="Q128" s="9">
        <v>6821</v>
      </c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</row>
    <row r="129" spans="1:38" hidden="1">
      <c r="A129" s="6" t="s">
        <v>22</v>
      </c>
      <c r="B129" s="6"/>
      <c r="C129" s="6"/>
      <c r="D129" s="6"/>
      <c r="E129" s="6"/>
      <c r="F129" s="9">
        <v>1582</v>
      </c>
      <c r="G129" s="9">
        <v>1598</v>
      </c>
      <c r="H129" s="9">
        <v>1540</v>
      </c>
      <c r="I129" s="9">
        <v>1425</v>
      </c>
      <c r="J129" s="9">
        <v>1312</v>
      </c>
      <c r="K129" s="9">
        <v>1308</v>
      </c>
      <c r="L129" s="9">
        <v>1063</v>
      </c>
      <c r="M129" s="9">
        <v>1166</v>
      </c>
      <c r="N129" s="9">
        <v>1022</v>
      </c>
      <c r="O129" s="9">
        <v>1285</v>
      </c>
      <c r="P129" s="9">
        <v>1150</v>
      </c>
      <c r="Q129" s="9">
        <v>1108</v>
      </c>
      <c r="R129" s="24">
        <v>0</v>
      </c>
      <c r="S129" s="24">
        <v>0</v>
      </c>
      <c r="T129" s="24">
        <v>0</v>
      </c>
      <c r="U129" s="24">
        <v>0</v>
      </c>
      <c r="V129" s="24">
        <v>0</v>
      </c>
      <c r="W129" s="24">
        <v>0</v>
      </c>
      <c r="X129" s="24">
        <v>0</v>
      </c>
      <c r="Y129" s="24">
        <v>0</v>
      </c>
      <c r="Z129" s="24">
        <v>0</v>
      </c>
      <c r="AA129" s="24">
        <v>0</v>
      </c>
      <c r="AB129" s="24">
        <v>0</v>
      </c>
      <c r="AC129" s="24">
        <v>0</v>
      </c>
      <c r="AD129" s="24">
        <v>0</v>
      </c>
      <c r="AE129" s="24">
        <v>0</v>
      </c>
      <c r="AF129" s="24">
        <v>0</v>
      </c>
      <c r="AG129" s="24">
        <v>0</v>
      </c>
      <c r="AH129" s="24"/>
      <c r="AI129" s="24"/>
      <c r="AJ129" s="24"/>
      <c r="AK129" s="24"/>
      <c r="AL129" s="24"/>
    </row>
    <row r="130" spans="1:38" hidden="1">
      <c r="A130" s="6"/>
      <c r="B130" s="6"/>
      <c r="C130" s="6"/>
      <c r="D130" s="6"/>
      <c r="E130" s="6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</row>
    <row r="131" spans="1:38" hidden="1">
      <c r="A131" s="7" t="s">
        <v>19</v>
      </c>
      <c r="B131" s="7"/>
      <c r="C131" s="7"/>
      <c r="D131" s="7"/>
      <c r="E131" s="7"/>
      <c r="F131" s="7">
        <f t="shared" ref="F131:AG131" si="144">F132+F133+F134</f>
        <v>15142</v>
      </c>
      <c r="G131" s="7">
        <f t="shared" si="144"/>
        <v>15403</v>
      </c>
      <c r="H131" s="7">
        <f t="shared" si="144"/>
        <v>15058</v>
      </c>
      <c r="I131" s="7">
        <f t="shared" si="144"/>
        <v>15212</v>
      </c>
      <c r="J131" s="7">
        <f t="shared" si="144"/>
        <v>14989</v>
      </c>
      <c r="K131" s="7">
        <f t="shared" si="144"/>
        <v>15576</v>
      </c>
      <c r="L131" s="7">
        <f t="shared" si="144"/>
        <v>15768</v>
      </c>
      <c r="M131" s="7">
        <f t="shared" si="144"/>
        <v>16378</v>
      </c>
      <c r="N131" s="7">
        <f t="shared" si="144"/>
        <v>16988</v>
      </c>
      <c r="O131" s="7">
        <f t="shared" si="144"/>
        <v>16361</v>
      </c>
      <c r="P131" s="7">
        <f t="shared" si="144"/>
        <v>16278</v>
      </c>
      <c r="Q131" s="7">
        <f t="shared" si="144"/>
        <v>16179</v>
      </c>
      <c r="R131" s="23">
        <f t="shared" si="144"/>
        <v>0</v>
      </c>
      <c r="S131" s="23">
        <f t="shared" si="144"/>
        <v>0</v>
      </c>
      <c r="T131" s="23">
        <f t="shared" si="144"/>
        <v>0</v>
      </c>
      <c r="U131" s="23">
        <f t="shared" si="144"/>
        <v>0</v>
      </c>
      <c r="V131" s="23">
        <f t="shared" si="144"/>
        <v>0</v>
      </c>
      <c r="W131" s="23">
        <f t="shared" si="144"/>
        <v>0</v>
      </c>
      <c r="X131" s="23">
        <f t="shared" si="144"/>
        <v>0</v>
      </c>
      <c r="Y131" s="23">
        <f t="shared" si="144"/>
        <v>0</v>
      </c>
      <c r="Z131" s="23">
        <f t="shared" si="144"/>
        <v>0</v>
      </c>
      <c r="AA131" s="23">
        <f t="shared" si="144"/>
        <v>0</v>
      </c>
      <c r="AB131" s="23">
        <f t="shared" si="144"/>
        <v>0</v>
      </c>
      <c r="AC131" s="23">
        <f t="shared" si="144"/>
        <v>0</v>
      </c>
      <c r="AD131" s="23">
        <f t="shared" si="144"/>
        <v>0</v>
      </c>
      <c r="AE131" s="23">
        <f t="shared" ref="AE131:AF131" si="145">AE132+AE133+AE134</f>
        <v>0</v>
      </c>
      <c r="AF131" s="23">
        <f t="shared" si="145"/>
        <v>0</v>
      </c>
      <c r="AG131" s="23">
        <f t="shared" si="144"/>
        <v>0</v>
      </c>
      <c r="AH131" s="23"/>
      <c r="AI131" s="23"/>
      <c r="AJ131" s="23"/>
      <c r="AK131" s="23"/>
      <c r="AL131" s="23"/>
    </row>
    <row r="132" spans="1:38" hidden="1">
      <c r="A132" s="6" t="s">
        <v>1</v>
      </c>
      <c r="B132" s="6"/>
      <c r="C132" s="6"/>
      <c r="D132" s="6"/>
      <c r="E132" s="6"/>
      <c r="F132" s="9">
        <v>6935</v>
      </c>
      <c r="G132" s="9">
        <f>7326</f>
        <v>7326</v>
      </c>
      <c r="H132" s="9">
        <v>7104</v>
      </c>
      <c r="I132" s="9">
        <v>6704</v>
      </c>
      <c r="J132" s="9">
        <v>6680</v>
      </c>
      <c r="K132" s="9">
        <v>7921</v>
      </c>
      <c r="L132" s="9">
        <v>7840</v>
      </c>
      <c r="M132" s="9">
        <v>8650</v>
      </c>
      <c r="N132" s="9">
        <v>9171</v>
      </c>
      <c r="O132" s="9">
        <v>8525</v>
      </c>
      <c r="P132" s="9">
        <v>8087</v>
      </c>
      <c r="Q132" s="9">
        <v>7745</v>
      </c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</row>
    <row r="133" spans="1:38" hidden="1">
      <c r="A133" s="6" t="s">
        <v>2</v>
      </c>
      <c r="B133" s="6"/>
      <c r="C133" s="6"/>
      <c r="D133" s="6"/>
      <c r="E133" s="6"/>
      <c r="F133" s="9">
        <v>6801</v>
      </c>
      <c r="G133" s="9">
        <f>5665+1066</f>
        <v>6731</v>
      </c>
      <c r="H133" s="9">
        <f>5548+744</f>
        <v>6292</v>
      </c>
      <c r="I133" s="9">
        <f>6361+769</f>
        <v>7130</v>
      </c>
      <c r="J133" s="9">
        <v>6955</v>
      </c>
      <c r="K133" s="9">
        <v>6542</v>
      </c>
      <c r="L133" s="9">
        <v>6807</v>
      </c>
      <c r="M133" s="9">
        <v>6724</v>
      </c>
      <c r="N133" s="9">
        <v>6807</v>
      </c>
      <c r="O133" s="9">
        <v>6764</v>
      </c>
      <c r="P133" s="9">
        <v>7166</v>
      </c>
      <c r="Q133" s="9">
        <v>7257</v>
      </c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</row>
    <row r="134" spans="1:38" hidden="1">
      <c r="A134" s="6" t="s">
        <v>22</v>
      </c>
      <c r="B134" s="6"/>
      <c r="C134" s="6"/>
      <c r="D134" s="6"/>
      <c r="E134" s="6"/>
      <c r="F134" s="9">
        <v>1406</v>
      </c>
      <c r="G134" s="9">
        <v>1346</v>
      </c>
      <c r="H134" s="9">
        <v>1662</v>
      </c>
      <c r="I134" s="9">
        <v>1378</v>
      </c>
      <c r="J134" s="9">
        <v>1354</v>
      </c>
      <c r="K134" s="9">
        <v>1113</v>
      </c>
      <c r="L134" s="9">
        <v>1121</v>
      </c>
      <c r="M134" s="9">
        <v>1004</v>
      </c>
      <c r="N134" s="9">
        <v>1010</v>
      </c>
      <c r="O134" s="9">
        <v>1072</v>
      </c>
      <c r="P134" s="9">
        <v>1025</v>
      </c>
      <c r="Q134" s="9">
        <v>1177</v>
      </c>
      <c r="R134" s="24">
        <v>0</v>
      </c>
      <c r="S134" s="24">
        <v>0</v>
      </c>
      <c r="T134" s="24">
        <v>0</v>
      </c>
      <c r="U134" s="24">
        <v>0</v>
      </c>
      <c r="V134" s="24">
        <v>0</v>
      </c>
      <c r="W134" s="24">
        <v>0</v>
      </c>
      <c r="X134" s="24">
        <v>0</v>
      </c>
      <c r="Y134" s="24">
        <v>0</v>
      </c>
      <c r="Z134" s="24">
        <v>0</v>
      </c>
      <c r="AA134" s="24">
        <v>0</v>
      </c>
      <c r="AB134" s="24">
        <v>0</v>
      </c>
      <c r="AC134" s="24">
        <v>0</v>
      </c>
      <c r="AD134" s="24">
        <v>0</v>
      </c>
      <c r="AE134" s="24">
        <v>0</v>
      </c>
      <c r="AF134" s="24">
        <v>0</v>
      </c>
      <c r="AG134" s="24">
        <v>0</v>
      </c>
      <c r="AH134" s="24"/>
      <c r="AI134" s="24"/>
      <c r="AJ134" s="24"/>
      <c r="AK134" s="24"/>
      <c r="AL134" s="24"/>
    </row>
    <row r="135" spans="1:38" hidden="1">
      <c r="A135" s="6"/>
      <c r="B135" s="6"/>
      <c r="C135" s="6"/>
      <c r="D135" s="6"/>
      <c r="E135" s="6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</row>
    <row r="136" spans="1:38" hidden="1">
      <c r="A136" s="7" t="s">
        <v>20</v>
      </c>
      <c r="B136" s="7"/>
      <c r="C136" s="7"/>
      <c r="D136" s="7"/>
      <c r="E136" s="7"/>
      <c r="F136" s="7">
        <f t="shared" ref="F136:AG136" si="146">F121+F126+F131</f>
        <v>33406</v>
      </c>
      <c r="G136" s="7">
        <f t="shared" si="146"/>
        <v>33678</v>
      </c>
      <c r="H136" s="7">
        <f t="shared" si="146"/>
        <v>33567</v>
      </c>
      <c r="I136" s="7">
        <f t="shared" si="146"/>
        <v>33653</v>
      </c>
      <c r="J136" s="7">
        <f t="shared" si="146"/>
        <v>33711</v>
      </c>
      <c r="K136" s="7">
        <f t="shared" si="146"/>
        <v>33736</v>
      </c>
      <c r="L136" s="7">
        <f t="shared" si="146"/>
        <v>34400</v>
      </c>
      <c r="M136" s="7">
        <f t="shared" si="146"/>
        <v>36033</v>
      </c>
      <c r="N136" s="7">
        <f t="shared" si="146"/>
        <v>37109</v>
      </c>
      <c r="O136" s="7">
        <f t="shared" si="146"/>
        <v>36080</v>
      </c>
      <c r="P136" s="7">
        <f t="shared" si="146"/>
        <v>35234</v>
      </c>
      <c r="Q136" s="7">
        <f t="shared" si="146"/>
        <v>34420</v>
      </c>
      <c r="R136" s="23">
        <f t="shared" si="146"/>
        <v>0</v>
      </c>
      <c r="S136" s="23">
        <f t="shared" si="146"/>
        <v>0</v>
      </c>
      <c r="T136" s="23">
        <f t="shared" si="146"/>
        <v>0</v>
      </c>
      <c r="U136" s="23">
        <f t="shared" si="146"/>
        <v>0</v>
      </c>
      <c r="V136" s="23">
        <f t="shared" si="146"/>
        <v>0</v>
      </c>
      <c r="W136" s="23">
        <f t="shared" si="146"/>
        <v>0</v>
      </c>
      <c r="X136" s="23">
        <f t="shared" si="146"/>
        <v>0</v>
      </c>
      <c r="Y136" s="23">
        <f t="shared" si="146"/>
        <v>0</v>
      </c>
      <c r="Z136" s="23">
        <f t="shared" si="146"/>
        <v>0</v>
      </c>
      <c r="AA136" s="23">
        <f t="shared" si="146"/>
        <v>0</v>
      </c>
      <c r="AB136" s="23">
        <f t="shared" si="146"/>
        <v>0</v>
      </c>
      <c r="AC136" s="23">
        <f t="shared" si="146"/>
        <v>0</v>
      </c>
      <c r="AD136" s="23">
        <f t="shared" si="146"/>
        <v>0</v>
      </c>
      <c r="AE136" s="23">
        <f t="shared" ref="AE136:AF136" si="147">AE121+AE126+AE131</f>
        <v>0</v>
      </c>
      <c r="AF136" s="23">
        <f t="shared" si="147"/>
        <v>0</v>
      </c>
      <c r="AG136" s="23">
        <f t="shared" si="146"/>
        <v>0</v>
      </c>
      <c r="AH136" s="23"/>
      <c r="AI136" s="23"/>
      <c r="AJ136" s="23"/>
      <c r="AK136" s="23"/>
      <c r="AL136" s="23"/>
    </row>
    <row r="137" spans="1:38" hidden="1">
      <c r="A137" s="7" t="s">
        <v>1</v>
      </c>
      <c r="B137" s="7"/>
      <c r="C137" s="7"/>
      <c r="D137" s="7"/>
      <c r="E137" s="7"/>
      <c r="F137" s="7">
        <f t="shared" ref="F137:AG137" si="148">F122+F127+F132</f>
        <v>15447</v>
      </c>
      <c r="G137" s="7">
        <f t="shared" si="148"/>
        <v>15368</v>
      </c>
      <c r="H137" s="7">
        <f t="shared" si="148"/>
        <v>15384</v>
      </c>
      <c r="I137" s="7">
        <f t="shared" si="148"/>
        <v>15497</v>
      </c>
      <c r="J137" s="7">
        <f t="shared" si="148"/>
        <v>15673</v>
      </c>
      <c r="K137" s="7">
        <f t="shared" si="148"/>
        <v>16638</v>
      </c>
      <c r="L137" s="7">
        <f t="shared" si="148"/>
        <v>17140</v>
      </c>
      <c r="M137" s="7">
        <f t="shared" si="148"/>
        <v>18452</v>
      </c>
      <c r="N137" s="7">
        <f t="shared" si="148"/>
        <v>19638</v>
      </c>
      <c r="O137" s="7">
        <f t="shared" si="148"/>
        <v>18089</v>
      </c>
      <c r="P137" s="7">
        <f t="shared" si="148"/>
        <v>17037</v>
      </c>
      <c r="Q137" s="7">
        <f t="shared" si="148"/>
        <v>16062</v>
      </c>
      <c r="R137" s="23">
        <f t="shared" si="148"/>
        <v>0</v>
      </c>
      <c r="S137" s="23">
        <f t="shared" si="148"/>
        <v>0</v>
      </c>
      <c r="T137" s="23">
        <f t="shared" si="148"/>
        <v>0</v>
      </c>
      <c r="U137" s="23">
        <f t="shared" si="148"/>
        <v>0</v>
      </c>
      <c r="V137" s="23">
        <f t="shared" si="148"/>
        <v>0</v>
      </c>
      <c r="W137" s="23">
        <f t="shared" si="148"/>
        <v>0</v>
      </c>
      <c r="X137" s="23">
        <f t="shared" si="148"/>
        <v>0</v>
      </c>
      <c r="Y137" s="23">
        <f t="shared" si="148"/>
        <v>0</v>
      </c>
      <c r="Z137" s="23">
        <f t="shared" si="148"/>
        <v>0</v>
      </c>
      <c r="AA137" s="23">
        <f t="shared" si="148"/>
        <v>0</v>
      </c>
      <c r="AB137" s="23">
        <f t="shared" si="148"/>
        <v>0</v>
      </c>
      <c r="AC137" s="23">
        <f t="shared" si="148"/>
        <v>0</v>
      </c>
      <c r="AD137" s="23">
        <f t="shared" si="148"/>
        <v>0</v>
      </c>
      <c r="AE137" s="23">
        <f t="shared" ref="AE137:AF137" si="149">AE122+AE127+AE132</f>
        <v>0</v>
      </c>
      <c r="AF137" s="23">
        <f t="shared" si="149"/>
        <v>0</v>
      </c>
      <c r="AG137" s="23">
        <f t="shared" si="148"/>
        <v>0</v>
      </c>
      <c r="AH137" s="23"/>
      <c r="AI137" s="23"/>
      <c r="AJ137" s="23"/>
      <c r="AK137" s="23"/>
      <c r="AL137" s="23"/>
    </row>
    <row r="138" spans="1:38" hidden="1">
      <c r="A138" s="7" t="s">
        <v>2</v>
      </c>
      <c r="B138" s="7"/>
      <c r="C138" s="7"/>
      <c r="D138" s="7"/>
      <c r="E138" s="7"/>
      <c r="F138" s="7">
        <f t="shared" ref="F138:AG138" si="150">F123+F128+F133</f>
        <v>14545</v>
      </c>
      <c r="G138" s="7">
        <f t="shared" si="150"/>
        <v>14828</v>
      </c>
      <c r="H138" s="7">
        <f t="shared" si="150"/>
        <v>14347</v>
      </c>
      <c r="I138" s="7">
        <f t="shared" si="150"/>
        <v>14854</v>
      </c>
      <c r="J138" s="7">
        <f t="shared" si="150"/>
        <v>14910</v>
      </c>
      <c r="K138" s="7">
        <f t="shared" si="150"/>
        <v>14201</v>
      </c>
      <c r="L138" s="7">
        <f t="shared" si="150"/>
        <v>14566</v>
      </c>
      <c r="M138" s="7">
        <f t="shared" si="150"/>
        <v>15088</v>
      </c>
      <c r="N138" s="7">
        <f t="shared" si="150"/>
        <v>15015</v>
      </c>
      <c r="O138" s="7">
        <f t="shared" si="150"/>
        <v>15085</v>
      </c>
      <c r="P138" s="7">
        <f t="shared" si="150"/>
        <v>15581</v>
      </c>
      <c r="Q138" s="7">
        <f t="shared" si="150"/>
        <v>15582</v>
      </c>
      <c r="R138" s="23">
        <f t="shared" si="150"/>
        <v>0</v>
      </c>
      <c r="S138" s="23">
        <f t="shared" si="150"/>
        <v>0</v>
      </c>
      <c r="T138" s="23">
        <f t="shared" si="150"/>
        <v>0</v>
      </c>
      <c r="U138" s="23">
        <f t="shared" si="150"/>
        <v>0</v>
      </c>
      <c r="V138" s="23">
        <f t="shared" si="150"/>
        <v>0</v>
      </c>
      <c r="W138" s="23">
        <f t="shared" si="150"/>
        <v>0</v>
      </c>
      <c r="X138" s="23">
        <f t="shared" si="150"/>
        <v>0</v>
      </c>
      <c r="Y138" s="23">
        <f t="shared" si="150"/>
        <v>0</v>
      </c>
      <c r="Z138" s="23">
        <f t="shared" si="150"/>
        <v>0</v>
      </c>
      <c r="AA138" s="23">
        <f t="shared" si="150"/>
        <v>0</v>
      </c>
      <c r="AB138" s="23">
        <f t="shared" si="150"/>
        <v>0</v>
      </c>
      <c r="AC138" s="23">
        <f t="shared" si="150"/>
        <v>0</v>
      </c>
      <c r="AD138" s="23">
        <f t="shared" si="150"/>
        <v>0</v>
      </c>
      <c r="AE138" s="23">
        <f t="shared" ref="AE138:AF138" si="151">AE123+AE128+AE133</f>
        <v>0</v>
      </c>
      <c r="AF138" s="23">
        <f t="shared" si="151"/>
        <v>0</v>
      </c>
      <c r="AG138" s="23">
        <f t="shared" si="150"/>
        <v>0</v>
      </c>
      <c r="AH138" s="23"/>
      <c r="AI138" s="23"/>
      <c r="AJ138" s="23"/>
      <c r="AK138" s="23"/>
      <c r="AL138" s="23"/>
    </row>
    <row r="139" spans="1:38" hidden="1">
      <c r="A139" s="7" t="s">
        <v>22</v>
      </c>
      <c r="B139" s="7"/>
      <c r="C139" s="7"/>
      <c r="D139" s="7"/>
      <c r="E139" s="7"/>
      <c r="F139" s="7">
        <f t="shared" ref="F139:AG139" si="152">F124+F129+F134</f>
        <v>3414</v>
      </c>
      <c r="G139" s="7">
        <f t="shared" si="152"/>
        <v>3482</v>
      </c>
      <c r="H139" s="7">
        <f t="shared" si="152"/>
        <v>3836</v>
      </c>
      <c r="I139" s="7">
        <f t="shared" si="152"/>
        <v>3302</v>
      </c>
      <c r="J139" s="7">
        <f t="shared" si="152"/>
        <v>3128</v>
      </c>
      <c r="K139" s="7">
        <f t="shared" si="152"/>
        <v>2897</v>
      </c>
      <c r="L139" s="7">
        <f t="shared" si="152"/>
        <v>2694</v>
      </c>
      <c r="M139" s="7">
        <f t="shared" si="152"/>
        <v>2493</v>
      </c>
      <c r="N139" s="7">
        <f t="shared" si="152"/>
        <v>2456</v>
      </c>
      <c r="O139" s="7">
        <f t="shared" si="152"/>
        <v>2906</v>
      </c>
      <c r="P139" s="7">
        <f t="shared" si="152"/>
        <v>2616</v>
      </c>
      <c r="Q139" s="7">
        <f t="shared" si="152"/>
        <v>2776</v>
      </c>
      <c r="R139" s="23">
        <f t="shared" si="152"/>
        <v>0</v>
      </c>
      <c r="S139" s="23">
        <f t="shared" si="152"/>
        <v>0</v>
      </c>
      <c r="T139" s="23">
        <f t="shared" si="152"/>
        <v>0</v>
      </c>
      <c r="U139" s="23">
        <f t="shared" si="152"/>
        <v>0</v>
      </c>
      <c r="V139" s="23">
        <f t="shared" si="152"/>
        <v>0</v>
      </c>
      <c r="W139" s="23">
        <f t="shared" si="152"/>
        <v>0</v>
      </c>
      <c r="X139" s="23">
        <f t="shared" si="152"/>
        <v>0</v>
      </c>
      <c r="Y139" s="23">
        <f t="shared" si="152"/>
        <v>0</v>
      </c>
      <c r="Z139" s="23">
        <f t="shared" si="152"/>
        <v>0</v>
      </c>
      <c r="AA139" s="23">
        <f t="shared" si="152"/>
        <v>0</v>
      </c>
      <c r="AB139" s="23">
        <f t="shared" si="152"/>
        <v>0</v>
      </c>
      <c r="AC139" s="23">
        <f t="shared" si="152"/>
        <v>0</v>
      </c>
      <c r="AD139" s="23">
        <f t="shared" si="152"/>
        <v>0</v>
      </c>
      <c r="AE139" s="23">
        <f t="shared" ref="AE139:AF139" si="153">AE124+AE129+AE134</f>
        <v>0</v>
      </c>
      <c r="AF139" s="23">
        <f t="shared" si="153"/>
        <v>0</v>
      </c>
      <c r="AG139" s="23">
        <f t="shared" si="152"/>
        <v>0</v>
      </c>
      <c r="AH139" s="23"/>
      <c r="AI139" s="23"/>
      <c r="AJ139" s="23"/>
      <c r="AK139" s="23"/>
      <c r="AL139" s="23"/>
    </row>
    <row r="140" spans="1:38" hidden="1">
      <c r="A140" s="8"/>
      <c r="B140" s="8"/>
      <c r="C140" s="8"/>
      <c r="D140" s="8"/>
      <c r="E140" s="8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</row>
    <row r="141" spans="1:38" ht="13.5" thickBot="1">
      <c r="A141" s="25" t="s">
        <v>12</v>
      </c>
      <c r="B141" s="25"/>
      <c r="C141" s="25"/>
      <c r="D141" s="26"/>
      <c r="E141" s="26"/>
      <c r="F141" s="26" t="s">
        <v>13</v>
      </c>
      <c r="G141" s="26" t="s">
        <v>14</v>
      </c>
      <c r="H141" s="26" t="s">
        <v>15</v>
      </c>
      <c r="I141" s="26" t="s">
        <v>16</v>
      </c>
      <c r="J141" s="26" t="s">
        <v>21</v>
      </c>
      <c r="K141" s="26" t="s">
        <v>23</v>
      </c>
      <c r="L141" s="26" t="s">
        <v>24</v>
      </c>
      <c r="M141" s="26" t="s">
        <v>38</v>
      </c>
      <c r="N141" s="26" t="s">
        <v>44</v>
      </c>
      <c r="O141" s="26" t="s">
        <v>45</v>
      </c>
      <c r="P141" s="26" t="s">
        <v>46</v>
      </c>
      <c r="Q141" s="26" t="s">
        <v>50</v>
      </c>
      <c r="R141" s="27" t="s">
        <v>53</v>
      </c>
      <c r="S141" s="27" t="s">
        <v>55</v>
      </c>
      <c r="T141" s="27" t="s">
        <v>58</v>
      </c>
      <c r="U141" s="27" t="s">
        <v>61</v>
      </c>
      <c r="V141" s="27" t="s">
        <v>63</v>
      </c>
      <c r="W141" s="27" t="s">
        <v>65</v>
      </c>
      <c r="X141" s="27" t="s">
        <v>67</v>
      </c>
      <c r="Y141" s="27" t="s">
        <v>69</v>
      </c>
      <c r="Z141" s="27" t="s">
        <v>71</v>
      </c>
      <c r="AA141" s="27" t="s">
        <v>76</v>
      </c>
      <c r="AB141" s="27" t="s">
        <v>79</v>
      </c>
      <c r="AC141" s="27" t="s">
        <v>107</v>
      </c>
      <c r="AD141" s="27" t="s">
        <v>111</v>
      </c>
      <c r="AE141" s="27" t="s">
        <v>114</v>
      </c>
      <c r="AF141" s="27" t="s">
        <v>136</v>
      </c>
      <c r="AG141" s="27" t="s">
        <v>137</v>
      </c>
      <c r="AH141" s="190" t="s">
        <v>145</v>
      </c>
      <c r="AI141" s="190" t="s">
        <v>148</v>
      </c>
      <c r="AJ141" s="190" t="s">
        <v>150</v>
      </c>
      <c r="AK141" s="190" t="s">
        <v>151</v>
      </c>
      <c r="AL141" s="190"/>
    </row>
    <row r="142" spans="1:38">
      <c r="A142" s="16" t="s">
        <v>155</v>
      </c>
      <c r="B142" s="7"/>
      <c r="C142" s="7"/>
      <c r="D142" s="7"/>
      <c r="E142" s="7"/>
      <c r="F142" s="7">
        <f t="shared" ref="F142:AG142" si="154">F143+F148+F153</f>
        <v>0</v>
      </c>
      <c r="G142" s="7">
        <f t="shared" si="154"/>
        <v>0</v>
      </c>
      <c r="H142" s="7">
        <f t="shared" si="154"/>
        <v>0</v>
      </c>
      <c r="I142" s="7">
        <f t="shared" si="154"/>
        <v>0</v>
      </c>
      <c r="J142" s="7">
        <f t="shared" si="154"/>
        <v>0</v>
      </c>
      <c r="K142" s="7">
        <f t="shared" si="154"/>
        <v>0</v>
      </c>
      <c r="L142" s="7">
        <f t="shared" si="154"/>
        <v>0</v>
      </c>
      <c r="M142" s="7">
        <f t="shared" si="154"/>
        <v>0</v>
      </c>
      <c r="N142" s="7">
        <f t="shared" si="154"/>
        <v>0</v>
      </c>
      <c r="O142" s="7">
        <f t="shared" si="154"/>
        <v>0</v>
      </c>
      <c r="P142" s="7">
        <f t="shared" si="154"/>
        <v>0</v>
      </c>
      <c r="Q142" s="7">
        <f t="shared" si="154"/>
        <v>0</v>
      </c>
      <c r="R142" s="7">
        <f t="shared" si="154"/>
        <v>72802</v>
      </c>
      <c r="S142" s="7">
        <f t="shared" si="154"/>
        <v>71545</v>
      </c>
      <c r="T142" s="7">
        <f t="shared" si="154"/>
        <v>73131</v>
      </c>
      <c r="U142" s="7">
        <f t="shared" si="154"/>
        <v>78111</v>
      </c>
      <c r="V142" s="7">
        <f t="shared" si="154"/>
        <v>85060</v>
      </c>
      <c r="W142" s="7">
        <f t="shared" si="154"/>
        <v>89590</v>
      </c>
      <c r="X142" s="7">
        <f t="shared" si="154"/>
        <v>96577</v>
      </c>
      <c r="Y142" s="7">
        <f t="shared" si="154"/>
        <v>103452</v>
      </c>
      <c r="Z142" s="7">
        <f t="shared" si="154"/>
        <v>110889</v>
      </c>
      <c r="AA142" s="7">
        <f t="shared" si="154"/>
        <v>116937.60000000001</v>
      </c>
      <c r="AB142" s="7">
        <f t="shared" si="154"/>
        <v>118942.06999999999</v>
      </c>
      <c r="AC142" s="7">
        <f t="shared" si="154"/>
        <v>112175.01999999999</v>
      </c>
      <c r="AD142" s="7">
        <f t="shared" si="154"/>
        <v>110937.3</v>
      </c>
      <c r="AE142" s="7">
        <f t="shared" ref="AE142:AF142" si="155">AE143+AE148+AE153</f>
        <v>106769.58499999999</v>
      </c>
      <c r="AF142" s="7">
        <f t="shared" si="155"/>
        <v>101043.68800000001</v>
      </c>
      <c r="AG142" s="7">
        <f t="shared" si="154"/>
        <v>94995.477999999988</v>
      </c>
      <c r="AH142" s="7">
        <f t="shared" ref="AH142:AK142" si="156">AH143+AH148+AH153</f>
        <v>88580.771000000008</v>
      </c>
      <c r="AI142" s="7">
        <f t="shared" ref="AI142:AJ142" si="157">AI143+AI148+AI153</f>
        <v>85662.56</v>
      </c>
      <c r="AJ142" s="7">
        <f t="shared" si="157"/>
        <v>85456</v>
      </c>
      <c r="AK142" s="7">
        <f t="shared" si="156"/>
        <v>83319</v>
      </c>
      <c r="AL142" s="7"/>
    </row>
    <row r="143" spans="1:38">
      <c r="A143" s="7" t="s">
        <v>17</v>
      </c>
      <c r="B143" s="7"/>
      <c r="C143" s="7"/>
      <c r="D143" s="7"/>
      <c r="E143" s="7"/>
      <c r="F143" s="7">
        <f t="shared" ref="F143:AG143" si="158">F144+F145+F146</f>
        <v>0</v>
      </c>
      <c r="G143" s="7">
        <f t="shared" si="158"/>
        <v>0</v>
      </c>
      <c r="H143" s="7">
        <f t="shared" si="158"/>
        <v>0</v>
      </c>
      <c r="I143" s="7">
        <f t="shared" si="158"/>
        <v>0</v>
      </c>
      <c r="J143" s="7">
        <f t="shared" si="158"/>
        <v>0</v>
      </c>
      <c r="K143" s="7">
        <f t="shared" si="158"/>
        <v>0</v>
      </c>
      <c r="L143" s="7">
        <f t="shared" si="158"/>
        <v>0</v>
      </c>
      <c r="M143" s="7">
        <f t="shared" si="158"/>
        <v>0</v>
      </c>
      <c r="N143" s="7">
        <f t="shared" si="158"/>
        <v>0</v>
      </c>
      <c r="O143" s="7">
        <f t="shared" si="158"/>
        <v>0</v>
      </c>
      <c r="P143" s="7">
        <f t="shared" si="158"/>
        <v>0</v>
      </c>
      <c r="Q143" s="7">
        <f t="shared" si="158"/>
        <v>0</v>
      </c>
      <c r="R143" s="7">
        <f t="shared" si="158"/>
        <v>6320</v>
      </c>
      <c r="S143" s="7">
        <f t="shared" si="158"/>
        <v>6535</v>
      </c>
      <c r="T143" s="7">
        <f t="shared" si="158"/>
        <v>5806</v>
      </c>
      <c r="U143" s="7">
        <f t="shared" si="158"/>
        <v>6332</v>
      </c>
      <c r="V143" s="7">
        <f t="shared" si="158"/>
        <v>7123</v>
      </c>
      <c r="W143" s="7">
        <f t="shared" si="158"/>
        <v>8345</v>
      </c>
      <c r="X143" s="7">
        <f t="shared" si="158"/>
        <v>7552</v>
      </c>
      <c r="Y143" s="7">
        <f t="shared" si="158"/>
        <v>8124</v>
      </c>
      <c r="Z143" s="7">
        <f t="shared" si="158"/>
        <v>8276</v>
      </c>
      <c r="AA143" s="7">
        <f t="shared" si="158"/>
        <v>8921.33</v>
      </c>
      <c r="AB143" s="7">
        <f t="shared" si="158"/>
        <v>9283.7000000000007</v>
      </c>
      <c r="AC143" s="7">
        <f t="shared" si="158"/>
        <v>8338.61</v>
      </c>
      <c r="AD143" s="7">
        <f t="shared" si="158"/>
        <v>7443.4699999999993</v>
      </c>
      <c r="AE143" s="7">
        <f t="shared" ref="AE143:AF143" si="159">AE144+AE145+AE146</f>
        <v>7354.933</v>
      </c>
      <c r="AF143" s="7">
        <f t="shared" si="159"/>
        <v>6648.2270000000008</v>
      </c>
      <c r="AG143" s="7">
        <f t="shared" si="158"/>
        <v>5307.933</v>
      </c>
      <c r="AH143" s="7">
        <f t="shared" ref="AH143:AK143" si="160">AH144+AH145+AH146</f>
        <v>5147.8</v>
      </c>
      <c r="AI143" s="7">
        <f t="shared" ref="AI143:AJ143" si="161">AI144+AI145+AI146</f>
        <v>3868</v>
      </c>
      <c r="AJ143" s="7">
        <f t="shared" si="161"/>
        <v>3565</v>
      </c>
      <c r="AK143" s="7">
        <f t="shared" si="160"/>
        <v>3203</v>
      </c>
      <c r="AL143" s="7"/>
    </row>
    <row r="144" spans="1:38">
      <c r="A144" s="6" t="s">
        <v>1</v>
      </c>
      <c r="B144" s="6"/>
      <c r="C144" s="6"/>
      <c r="D144" s="6"/>
      <c r="E144" s="6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>
        <f>688+396</f>
        <v>1084</v>
      </c>
      <c r="S144" s="9">
        <v>1432</v>
      </c>
      <c r="T144" s="9">
        <v>1262</v>
      </c>
      <c r="U144" s="9">
        <v>1210</v>
      </c>
      <c r="V144" s="9">
        <v>978</v>
      </c>
      <c r="W144" s="14">
        <v>1610</v>
      </c>
      <c r="X144" s="14">
        <v>1152</v>
      </c>
      <c r="Y144" s="14">
        <v>1170</v>
      </c>
      <c r="Z144" s="14">
        <v>1477</v>
      </c>
      <c r="AA144" s="175">
        <v>1636</v>
      </c>
      <c r="AB144" s="175">
        <v>1880</v>
      </c>
      <c r="AC144" s="175">
        <v>1282</v>
      </c>
      <c r="AD144" s="175">
        <v>1284</v>
      </c>
      <c r="AE144" s="175">
        <v>1125</v>
      </c>
      <c r="AF144" s="175">
        <v>1242</v>
      </c>
      <c r="AG144" s="175">
        <v>1091</v>
      </c>
      <c r="AH144" s="191">
        <v>753</v>
      </c>
      <c r="AI144" s="191">
        <v>633</v>
      </c>
      <c r="AJ144" s="191">
        <v>566</v>
      </c>
      <c r="AK144" s="191">
        <v>580</v>
      </c>
      <c r="AL144" s="191"/>
    </row>
    <row r="145" spans="1:38">
      <c r="A145" s="6" t="s">
        <v>2</v>
      </c>
      <c r="B145" s="6"/>
      <c r="C145" s="6"/>
      <c r="D145" s="6"/>
      <c r="E145" s="6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>
        <f>2112+1204</f>
        <v>3316</v>
      </c>
      <c r="S145" s="9">
        <v>2817</v>
      </c>
      <c r="T145" s="9">
        <v>2966</v>
      </c>
      <c r="U145" s="9">
        <v>2537</v>
      </c>
      <c r="V145" s="9">
        <v>3386</v>
      </c>
      <c r="W145" s="15">
        <v>3597</v>
      </c>
      <c r="X145" s="15">
        <v>3273</v>
      </c>
      <c r="Y145" s="15">
        <v>3321</v>
      </c>
      <c r="Z145" s="15">
        <v>3364</v>
      </c>
      <c r="AA145" s="176">
        <v>3927</v>
      </c>
      <c r="AB145" s="176">
        <v>4076</v>
      </c>
      <c r="AC145" s="176">
        <v>3833</v>
      </c>
      <c r="AD145" s="176">
        <v>3752</v>
      </c>
      <c r="AE145" s="176">
        <v>3799.66</v>
      </c>
      <c r="AF145" s="176">
        <v>3111.1</v>
      </c>
      <c r="AG145" s="176">
        <v>2608.5</v>
      </c>
      <c r="AH145" s="191">
        <v>2484.8000000000002</v>
      </c>
      <c r="AI145" s="191">
        <v>1839</v>
      </c>
      <c r="AJ145" s="191">
        <v>1544</v>
      </c>
      <c r="AK145" s="191">
        <v>1212</v>
      </c>
      <c r="AL145" s="191"/>
    </row>
    <row r="146" spans="1:38">
      <c r="A146" s="6" t="s">
        <v>22</v>
      </c>
      <c r="B146" s="6"/>
      <c r="C146" s="6"/>
      <c r="D146" s="6"/>
      <c r="E146" s="6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>
        <f>1464+456</f>
        <v>1920</v>
      </c>
      <c r="S146" s="9">
        <v>2286</v>
      </c>
      <c r="T146" s="9">
        <v>1578</v>
      </c>
      <c r="U146" s="9">
        <v>2585</v>
      </c>
      <c r="V146" s="9">
        <v>2759</v>
      </c>
      <c r="W146" s="15">
        <v>3138</v>
      </c>
      <c r="X146" s="15">
        <v>3127</v>
      </c>
      <c r="Y146" s="15">
        <v>3633</v>
      </c>
      <c r="Z146" s="15">
        <v>3435</v>
      </c>
      <c r="AA146" s="176">
        <v>3358.33</v>
      </c>
      <c r="AB146" s="176">
        <v>3327.7</v>
      </c>
      <c r="AC146" s="176">
        <v>3223.61</v>
      </c>
      <c r="AD146" s="176">
        <v>2407.4699999999998</v>
      </c>
      <c r="AE146" s="176">
        <v>2430.2730000000001</v>
      </c>
      <c r="AF146" s="176">
        <v>2295.127</v>
      </c>
      <c r="AG146" s="176">
        <v>1608.433</v>
      </c>
      <c r="AH146" s="191">
        <v>1910</v>
      </c>
      <c r="AI146" s="191">
        <v>1396</v>
      </c>
      <c r="AJ146" s="191">
        <v>1455</v>
      </c>
      <c r="AK146" s="191">
        <v>1411</v>
      </c>
      <c r="AL146" s="191"/>
    </row>
    <row r="147" spans="1:38">
      <c r="A147" s="6"/>
      <c r="B147" s="6"/>
      <c r="C147" s="6"/>
      <c r="D147" s="6"/>
      <c r="E147" s="6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</row>
    <row r="148" spans="1:38">
      <c r="A148" s="7" t="s">
        <v>18</v>
      </c>
      <c r="B148" s="7"/>
      <c r="C148" s="7"/>
      <c r="D148" s="7"/>
      <c r="E148" s="7"/>
      <c r="F148" s="7">
        <f t="shared" ref="F148:AH148" si="162">F149+F150+F151</f>
        <v>0</v>
      </c>
      <c r="G148" s="7">
        <f t="shared" si="162"/>
        <v>0</v>
      </c>
      <c r="H148" s="7">
        <f t="shared" si="162"/>
        <v>0</v>
      </c>
      <c r="I148" s="7">
        <f t="shared" si="162"/>
        <v>0</v>
      </c>
      <c r="J148" s="7">
        <f t="shared" si="162"/>
        <v>0</v>
      </c>
      <c r="K148" s="7">
        <f t="shared" si="162"/>
        <v>0</v>
      </c>
      <c r="L148" s="7">
        <f t="shared" si="162"/>
        <v>0</v>
      </c>
      <c r="M148" s="7">
        <f t="shared" si="162"/>
        <v>0</v>
      </c>
      <c r="N148" s="7">
        <f t="shared" si="162"/>
        <v>0</v>
      </c>
      <c r="O148" s="7">
        <f t="shared" si="162"/>
        <v>0</v>
      </c>
      <c r="P148" s="7">
        <f t="shared" si="162"/>
        <v>0</v>
      </c>
      <c r="Q148" s="7">
        <f t="shared" si="162"/>
        <v>0</v>
      </c>
      <c r="R148" s="7">
        <f t="shared" si="162"/>
        <v>32712</v>
      </c>
      <c r="S148" s="7">
        <f t="shared" si="162"/>
        <v>32642</v>
      </c>
      <c r="T148" s="7">
        <f t="shared" si="162"/>
        <v>33390</v>
      </c>
      <c r="U148" s="7">
        <f t="shared" si="162"/>
        <v>35811</v>
      </c>
      <c r="V148" s="7">
        <f t="shared" si="162"/>
        <v>38855</v>
      </c>
      <c r="W148" s="7">
        <f t="shared" si="162"/>
        <v>40670</v>
      </c>
      <c r="X148" s="7">
        <f t="shared" si="162"/>
        <v>44123</v>
      </c>
      <c r="Y148" s="7">
        <f t="shared" si="162"/>
        <v>47417</v>
      </c>
      <c r="Z148" s="7">
        <f t="shared" si="162"/>
        <v>50760</v>
      </c>
      <c r="AA148" s="7">
        <f t="shared" si="162"/>
        <v>54473.95</v>
      </c>
      <c r="AB148" s="7">
        <f t="shared" si="162"/>
        <v>54957.259999999995</v>
      </c>
      <c r="AC148" s="7">
        <f t="shared" si="162"/>
        <v>51321.4</v>
      </c>
      <c r="AD148" s="7">
        <f t="shared" si="162"/>
        <v>53354</v>
      </c>
      <c r="AE148" s="7">
        <f t="shared" ref="AE148:AF148" si="163">AE149+AE150+AE151</f>
        <v>50566.276999999995</v>
      </c>
      <c r="AF148" s="7">
        <f t="shared" si="163"/>
        <v>48215.19</v>
      </c>
      <c r="AG148" s="7">
        <f t="shared" si="162"/>
        <v>45202.024999999994</v>
      </c>
      <c r="AH148" s="7">
        <f t="shared" si="162"/>
        <v>41984.485000000001</v>
      </c>
      <c r="AI148" s="7">
        <f t="shared" ref="AI148:AK148" si="164">AI149+AI150+AI151</f>
        <v>40865</v>
      </c>
      <c r="AJ148" s="7">
        <f t="shared" ref="AJ148" si="165">AJ149+AJ150+AJ151</f>
        <v>40735</v>
      </c>
      <c r="AK148" s="198">
        <f t="shared" si="164"/>
        <v>39648</v>
      </c>
      <c r="AL148" s="7"/>
    </row>
    <row r="149" spans="1:38">
      <c r="A149" s="6" t="s">
        <v>1</v>
      </c>
      <c r="B149" s="6"/>
      <c r="C149" s="6"/>
      <c r="D149" s="6"/>
      <c r="E149" s="6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>
        <v>14095</v>
      </c>
      <c r="S149" s="9">
        <v>15205</v>
      </c>
      <c r="T149" s="9">
        <v>15457</v>
      </c>
      <c r="U149" s="9">
        <v>17103</v>
      </c>
      <c r="V149" s="9">
        <v>18625</v>
      </c>
      <c r="W149" s="14">
        <v>19250</v>
      </c>
      <c r="X149" s="14">
        <v>21038</v>
      </c>
      <c r="Y149" s="14">
        <v>23607</v>
      </c>
      <c r="Z149" s="14">
        <v>24567</v>
      </c>
      <c r="AA149" s="175">
        <v>26149.439999999999</v>
      </c>
      <c r="AB149" s="175">
        <v>25739.79</v>
      </c>
      <c r="AC149" s="175">
        <v>23278.44</v>
      </c>
      <c r="AD149" s="175">
        <v>24567.86</v>
      </c>
      <c r="AE149" s="175">
        <v>22872.22</v>
      </c>
      <c r="AF149" s="175">
        <v>21956.91</v>
      </c>
      <c r="AG149" s="175">
        <v>19424.400000000001</v>
      </c>
      <c r="AH149" s="191">
        <v>18434.900000000001</v>
      </c>
      <c r="AI149" s="191">
        <v>18056</v>
      </c>
      <c r="AJ149" s="191">
        <v>18671</v>
      </c>
      <c r="AK149" s="199">
        <v>18140</v>
      </c>
      <c r="AL149" s="191"/>
    </row>
    <row r="150" spans="1:38">
      <c r="A150" s="6" t="s">
        <v>2</v>
      </c>
      <c r="B150" s="6"/>
      <c r="C150" s="6"/>
      <c r="D150" s="6"/>
      <c r="E150" s="6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>
        <v>14761</v>
      </c>
      <c r="S150" s="9">
        <v>14262</v>
      </c>
      <c r="T150" s="9">
        <v>13722</v>
      </c>
      <c r="U150" s="9">
        <v>14647</v>
      </c>
      <c r="V150" s="9">
        <v>15302</v>
      </c>
      <c r="W150" s="15">
        <v>16497</v>
      </c>
      <c r="X150" s="15">
        <v>17588</v>
      </c>
      <c r="Y150" s="15">
        <v>18604</v>
      </c>
      <c r="Z150" s="15">
        <v>21013</v>
      </c>
      <c r="AA150" s="176">
        <v>22514.95</v>
      </c>
      <c r="AB150" s="176">
        <v>23974.66</v>
      </c>
      <c r="AC150" s="176">
        <v>23064.09</v>
      </c>
      <c r="AD150" s="176">
        <v>24223.119999999999</v>
      </c>
      <c r="AE150" s="176">
        <v>23217.316999999999</v>
      </c>
      <c r="AF150" s="176">
        <v>21868.080000000002</v>
      </c>
      <c r="AG150" s="176">
        <v>21502.94</v>
      </c>
      <c r="AH150" s="191">
        <v>19721.71</v>
      </c>
      <c r="AI150" s="191">
        <v>19162</v>
      </c>
      <c r="AJ150" s="191">
        <v>18308</v>
      </c>
      <c r="AK150" s="199">
        <v>18166</v>
      </c>
      <c r="AL150" s="191"/>
    </row>
    <row r="151" spans="1:38">
      <c r="A151" s="6" t="s">
        <v>22</v>
      </c>
      <c r="B151" s="6"/>
      <c r="C151" s="6"/>
      <c r="D151" s="6"/>
      <c r="E151" s="6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>
        <v>3856</v>
      </c>
      <c r="S151" s="9">
        <v>3175</v>
      </c>
      <c r="T151" s="9">
        <v>4211</v>
      </c>
      <c r="U151" s="9">
        <v>4061</v>
      </c>
      <c r="V151" s="9">
        <v>4928</v>
      </c>
      <c r="W151" s="15">
        <v>4923</v>
      </c>
      <c r="X151" s="15">
        <v>5497</v>
      </c>
      <c r="Y151" s="15">
        <v>5206</v>
      </c>
      <c r="Z151" s="15">
        <v>5180</v>
      </c>
      <c r="AA151" s="176">
        <v>5809.56</v>
      </c>
      <c r="AB151" s="176">
        <v>5242.8100000000004</v>
      </c>
      <c r="AC151" s="176">
        <v>4978.87</v>
      </c>
      <c r="AD151" s="176">
        <v>4563.0200000000004</v>
      </c>
      <c r="AE151" s="176">
        <v>4476.74</v>
      </c>
      <c r="AF151" s="176">
        <v>4390.2</v>
      </c>
      <c r="AG151" s="176">
        <v>4274.6850000000004</v>
      </c>
      <c r="AH151" s="191">
        <v>3827.875</v>
      </c>
      <c r="AI151" s="191">
        <v>3647</v>
      </c>
      <c r="AJ151" s="191">
        <v>3756</v>
      </c>
      <c r="AK151" s="199">
        <v>3342</v>
      </c>
      <c r="AL151" s="191"/>
    </row>
    <row r="152" spans="1:38">
      <c r="A152" s="6"/>
      <c r="B152" s="6"/>
      <c r="C152" s="6"/>
      <c r="D152" s="6"/>
      <c r="E152" s="6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</row>
    <row r="153" spans="1:38">
      <c r="A153" s="7" t="s">
        <v>19</v>
      </c>
      <c r="B153" s="7"/>
      <c r="C153" s="7"/>
      <c r="D153" s="7"/>
      <c r="E153" s="7"/>
      <c r="F153" s="7">
        <f t="shared" ref="F153:AH153" si="166">F154+F155+F156</f>
        <v>0</v>
      </c>
      <c r="G153" s="7">
        <f t="shared" si="166"/>
        <v>0</v>
      </c>
      <c r="H153" s="7">
        <f t="shared" si="166"/>
        <v>0</v>
      </c>
      <c r="I153" s="7">
        <f t="shared" si="166"/>
        <v>0</v>
      </c>
      <c r="J153" s="7">
        <f t="shared" si="166"/>
        <v>0</v>
      </c>
      <c r="K153" s="7">
        <f t="shared" si="166"/>
        <v>0</v>
      </c>
      <c r="L153" s="7">
        <f t="shared" si="166"/>
        <v>0</v>
      </c>
      <c r="M153" s="7">
        <f t="shared" si="166"/>
        <v>0</v>
      </c>
      <c r="N153" s="7">
        <f t="shared" si="166"/>
        <v>0</v>
      </c>
      <c r="O153" s="7">
        <f t="shared" si="166"/>
        <v>0</v>
      </c>
      <c r="P153" s="7">
        <f t="shared" si="166"/>
        <v>0</v>
      </c>
      <c r="Q153" s="7">
        <f t="shared" si="166"/>
        <v>0</v>
      </c>
      <c r="R153" s="7">
        <f t="shared" si="166"/>
        <v>33770</v>
      </c>
      <c r="S153" s="7">
        <f t="shared" si="166"/>
        <v>32368</v>
      </c>
      <c r="T153" s="7">
        <f t="shared" si="166"/>
        <v>33935</v>
      </c>
      <c r="U153" s="7">
        <f t="shared" si="166"/>
        <v>35968</v>
      </c>
      <c r="V153" s="7">
        <f t="shared" si="166"/>
        <v>39082</v>
      </c>
      <c r="W153" s="7">
        <f t="shared" si="166"/>
        <v>40575</v>
      </c>
      <c r="X153" s="7">
        <f t="shared" si="166"/>
        <v>44902</v>
      </c>
      <c r="Y153" s="7">
        <f t="shared" si="166"/>
        <v>47911</v>
      </c>
      <c r="Z153" s="7">
        <f t="shared" si="166"/>
        <v>51853</v>
      </c>
      <c r="AA153" s="7">
        <f t="shared" si="166"/>
        <v>53542.32</v>
      </c>
      <c r="AB153" s="7">
        <f t="shared" si="166"/>
        <v>54701.11</v>
      </c>
      <c r="AC153" s="7">
        <f t="shared" si="166"/>
        <v>52515.009999999995</v>
      </c>
      <c r="AD153" s="7">
        <f t="shared" si="166"/>
        <v>50139.83</v>
      </c>
      <c r="AE153" s="7">
        <f t="shared" ref="AE153:AF153" si="167">AE154+AE155+AE156</f>
        <v>48848.374999999993</v>
      </c>
      <c r="AF153" s="7">
        <f t="shared" si="167"/>
        <v>46180.271000000008</v>
      </c>
      <c r="AG153" s="7">
        <f t="shared" si="166"/>
        <v>44485.52</v>
      </c>
      <c r="AH153" s="7">
        <f t="shared" si="166"/>
        <v>41448.485999999997</v>
      </c>
      <c r="AI153" s="7">
        <f t="shared" ref="AI153:AK153" si="168">AI154+AI155+AI156</f>
        <v>40929.560000000005</v>
      </c>
      <c r="AJ153" s="7">
        <f t="shared" ref="AJ153" si="169">AJ154+AJ155+AJ156</f>
        <v>41156</v>
      </c>
      <c r="AK153" s="198">
        <f t="shared" si="168"/>
        <v>40468</v>
      </c>
      <c r="AL153" s="7"/>
    </row>
    <row r="154" spans="1:38">
      <c r="A154" s="6" t="s">
        <v>1</v>
      </c>
      <c r="B154" s="6"/>
      <c r="C154" s="6"/>
      <c r="D154" s="6"/>
      <c r="E154" s="6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>
        <v>14089</v>
      </c>
      <c r="S154" s="9">
        <v>13730</v>
      </c>
      <c r="T154" s="9">
        <v>14570</v>
      </c>
      <c r="U154" s="9">
        <v>15921</v>
      </c>
      <c r="V154" s="9">
        <v>17860</v>
      </c>
      <c r="W154" s="14">
        <v>18323</v>
      </c>
      <c r="X154" s="14">
        <v>20099</v>
      </c>
      <c r="Y154" s="14">
        <v>22200</v>
      </c>
      <c r="Z154" s="14">
        <v>23558</v>
      </c>
      <c r="AA154" s="175">
        <v>23199.38</v>
      </c>
      <c r="AB154" s="175">
        <v>23666.5</v>
      </c>
      <c r="AC154" s="175">
        <v>21979.1</v>
      </c>
      <c r="AD154" s="175">
        <v>21011.84</v>
      </c>
      <c r="AE154" s="175">
        <v>19962.444</v>
      </c>
      <c r="AF154" s="175">
        <v>19711.804</v>
      </c>
      <c r="AG154" s="175">
        <v>17846.536</v>
      </c>
      <c r="AH154" s="191">
        <v>16966.73</v>
      </c>
      <c r="AI154" s="191">
        <v>16853.59</v>
      </c>
      <c r="AJ154" s="191">
        <v>18134</v>
      </c>
      <c r="AK154" s="199">
        <v>17033</v>
      </c>
      <c r="AL154" s="191"/>
    </row>
    <row r="155" spans="1:38">
      <c r="A155" s="6" t="s">
        <v>2</v>
      </c>
      <c r="B155" s="6"/>
      <c r="C155" s="6"/>
      <c r="D155" s="6"/>
      <c r="E155" s="6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>
        <v>15955</v>
      </c>
      <c r="S155" s="9">
        <v>15215</v>
      </c>
      <c r="T155" s="9">
        <v>15203</v>
      </c>
      <c r="U155" s="9">
        <v>15656</v>
      </c>
      <c r="V155" s="9">
        <v>16283</v>
      </c>
      <c r="W155" s="15">
        <v>17263</v>
      </c>
      <c r="X155" s="15">
        <v>19053</v>
      </c>
      <c r="Y155" s="15">
        <v>20462</v>
      </c>
      <c r="Z155" s="15">
        <v>22740</v>
      </c>
      <c r="AA155" s="176">
        <v>24603.98</v>
      </c>
      <c r="AB155" s="176">
        <v>25189.439999999999</v>
      </c>
      <c r="AC155" s="176">
        <v>25924.240000000002</v>
      </c>
      <c r="AD155" s="176">
        <v>24548.15</v>
      </c>
      <c r="AE155" s="176">
        <v>24153.57</v>
      </c>
      <c r="AF155" s="176">
        <v>22284.11</v>
      </c>
      <c r="AG155" s="176">
        <v>22263.74</v>
      </c>
      <c r="AH155" s="191">
        <v>20850.054</v>
      </c>
      <c r="AI155" s="191">
        <v>20483.900000000001</v>
      </c>
      <c r="AJ155" s="191">
        <v>19585</v>
      </c>
      <c r="AK155" s="199">
        <v>20058</v>
      </c>
      <c r="AL155" s="191"/>
    </row>
    <row r="156" spans="1:38">
      <c r="A156" s="6" t="s">
        <v>22</v>
      </c>
      <c r="B156" s="6"/>
      <c r="C156" s="6"/>
      <c r="D156" s="6"/>
      <c r="E156" s="6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>
        <v>3726</v>
      </c>
      <c r="S156" s="9">
        <v>3423</v>
      </c>
      <c r="T156" s="9">
        <v>4162</v>
      </c>
      <c r="U156" s="9">
        <v>4391</v>
      </c>
      <c r="V156" s="9">
        <v>4939</v>
      </c>
      <c r="W156" s="15">
        <v>4989</v>
      </c>
      <c r="X156" s="15">
        <v>5750</v>
      </c>
      <c r="Y156" s="15">
        <v>5249</v>
      </c>
      <c r="Z156" s="15">
        <v>5555</v>
      </c>
      <c r="AA156" s="176">
        <v>5738.96</v>
      </c>
      <c r="AB156" s="176">
        <v>5845.17</v>
      </c>
      <c r="AC156" s="176">
        <v>4611.67</v>
      </c>
      <c r="AD156" s="176">
        <v>4579.84</v>
      </c>
      <c r="AE156" s="176">
        <v>4732.3609999999999</v>
      </c>
      <c r="AF156" s="176">
        <v>4184.357</v>
      </c>
      <c r="AG156" s="176">
        <v>4375.2439999999997</v>
      </c>
      <c r="AH156" s="191">
        <v>3631.7020000000002</v>
      </c>
      <c r="AI156" s="191">
        <f>2622.19+969.88</f>
        <v>3592.07</v>
      </c>
      <c r="AJ156" s="191">
        <v>3437</v>
      </c>
      <c r="AK156" s="199">
        <v>3377</v>
      </c>
      <c r="AL156" s="191"/>
    </row>
    <row r="157" spans="1:38">
      <c r="A157" s="6"/>
      <c r="B157" s="6"/>
      <c r="C157" s="6"/>
      <c r="D157" s="6"/>
      <c r="E157" s="6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</row>
    <row r="158" spans="1:38">
      <c r="A158" s="7" t="s">
        <v>20</v>
      </c>
      <c r="B158" s="7"/>
      <c r="C158" s="7"/>
      <c r="D158" s="7"/>
      <c r="E158" s="7"/>
      <c r="F158" s="7">
        <f t="shared" ref="F158:AG158" si="170">F143+F148+F153</f>
        <v>0</v>
      </c>
      <c r="G158" s="7">
        <f t="shared" si="170"/>
        <v>0</v>
      </c>
      <c r="H158" s="7">
        <f t="shared" si="170"/>
        <v>0</v>
      </c>
      <c r="I158" s="7">
        <f t="shared" si="170"/>
        <v>0</v>
      </c>
      <c r="J158" s="7">
        <f t="shared" si="170"/>
        <v>0</v>
      </c>
      <c r="K158" s="7">
        <f t="shared" si="170"/>
        <v>0</v>
      </c>
      <c r="L158" s="7">
        <f t="shared" si="170"/>
        <v>0</v>
      </c>
      <c r="M158" s="7">
        <f t="shared" si="170"/>
        <v>0</v>
      </c>
      <c r="N158" s="7">
        <f t="shared" si="170"/>
        <v>0</v>
      </c>
      <c r="O158" s="7">
        <f t="shared" si="170"/>
        <v>0</v>
      </c>
      <c r="P158" s="7">
        <f t="shared" si="170"/>
        <v>0</v>
      </c>
      <c r="Q158" s="7">
        <f t="shared" si="170"/>
        <v>0</v>
      </c>
      <c r="R158" s="7">
        <f t="shared" si="170"/>
        <v>72802</v>
      </c>
      <c r="S158" s="7">
        <f t="shared" si="170"/>
        <v>71545</v>
      </c>
      <c r="T158" s="7">
        <f t="shared" si="170"/>
        <v>73131</v>
      </c>
      <c r="U158" s="7">
        <f t="shared" si="170"/>
        <v>78111</v>
      </c>
      <c r="V158" s="7">
        <f t="shared" si="170"/>
        <v>85060</v>
      </c>
      <c r="W158" s="7">
        <f t="shared" si="170"/>
        <v>89590</v>
      </c>
      <c r="X158" s="7">
        <f t="shared" si="170"/>
        <v>96577</v>
      </c>
      <c r="Y158" s="7">
        <f t="shared" si="170"/>
        <v>103452</v>
      </c>
      <c r="Z158" s="7">
        <f t="shared" si="170"/>
        <v>110889</v>
      </c>
      <c r="AA158" s="7">
        <f t="shared" si="170"/>
        <v>116937.60000000001</v>
      </c>
      <c r="AB158" s="7">
        <f t="shared" si="170"/>
        <v>118942.06999999999</v>
      </c>
      <c r="AC158" s="7">
        <f t="shared" si="170"/>
        <v>112175.01999999999</v>
      </c>
      <c r="AD158" s="7">
        <f t="shared" si="170"/>
        <v>110937.3</v>
      </c>
      <c r="AE158" s="7">
        <f t="shared" ref="AE158:AF158" si="171">AE143+AE148+AE153</f>
        <v>106769.58499999999</v>
      </c>
      <c r="AF158" s="7">
        <f t="shared" si="171"/>
        <v>101043.68800000001</v>
      </c>
      <c r="AG158" s="7">
        <f t="shared" si="170"/>
        <v>94995.477999999988</v>
      </c>
      <c r="AH158" s="7">
        <f t="shared" ref="AH158:AK158" si="172">AH143+AH148+AH153</f>
        <v>88580.771000000008</v>
      </c>
      <c r="AI158" s="7">
        <f t="shared" ref="AI158:AJ158" si="173">AI143+AI148+AI153</f>
        <v>85662.56</v>
      </c>
      <c r="AJ158" s="7">
        <f t="shared" si="173"/>
        <v>85456</v>
      </c>
      <c r="AK158" s="7">
        <f t="shared" si="172"/>
        <v>83319</v>
      </c>
      <c r="AL158" s="7"/>
    </row>
    <row r="159" spans="1:38">
      <c r="A159" s="7" t="s">
        <v>1</v>
      </c>
      <c r="B159" s="7"/>
      <c r="C159" s="7"/>
      <c r="D159" s="7"/>
      <c r="E159" s="7"/>
      <c r="F159" s="7">
        <f t="shared" ref="F159:AG159" si="174">F144+F149+F154</f>
        <v>0</v>
      </c>
      <c r="G159" s="7">
        <f t="shared" si="174"/>
        <v>0</v>
      </c>
      <c r="H159" s="7">
        <f t="shared" si="174"/>
        <v>0</v>
      </c>
      <c r="I159" s="7">
        <f t="shared" si="174"/>
        <v>0</v>
      </c>
      <c r="J159" s="7">
        <f t="shared" si="174"/>
        <v>0</v>
      </c>
      <c r="K159" s="7">
        <f t="shared" si="174"/>
        <v>0</v>
      </c>
      <c r="L159" s="7">
        <f t="shared" si="174"/>
        <v>0</v>
      </c>
      <c r="M159" s="7">
        <f t="shared" si="174"/>
        <v>0</v>
      </c>
      <c r="N159" s="7">
        <f t="shared" si="174"/>
        <v>0</v>
      </c>
      <c r="O159" s="7">
        <f t="shared" si="174"/>
        <v>0</v>
      </c>
      <c r="P159" s="7">
        <f t="shared" si="174"/>
        <v>0</v>
      </c>
      <c r="Q159" s="7">
        <f t="shared" si="174"/>
        <v>0</v>
      </c>
      <c r="R159" s="7">
        <f t="shared" si="174"/>
        <v>29268</v>
      </c>
      <c r="S159" s="7">
        <f t="shared" si="174"/>
        <v>30367</v>
      </c>
      <c r="T159" s="7">
        <f t="shared" si="174"/>
        <v>31289</v>
      </c>
      <c r="U159" s="7">
        <f t="shared" si="174"/>
        <v>34234</v>
      </c>
      <c r="V159" s="7">
        <f t="shared" si="174"/>
        <v>37463</v>
      </c>
      <c r="W159" s="7">
        <f t="shared" si="174"/>
        <v>39183</v>
      </c>
      <c r="X159" s="7">
        <f t="shared" si="174"/>
        <v>42289</v>
      </c>
      <c r="Y159" s="7">
        <f t="shared" si="174"/>
        <v>46977</v>
      </c>
      <c r="Z159" s="7">
        <f t="shared" si="174"/>
        <v>49602</v>
      </c>
      <c r="AA159" s="7">
        <f t="shared" si="174"/>
        <v>50984.82</v>
      </c>
      <c r="AB159" s="7">
        <f t="shared" si="174"/>
        <v>51286.29</v>
      </c>
      <c r="AC159" s="7">
        <f t="shared" si="174"/>
        <v>46539.539999999994</v>
      </c>
      <c r="AD159" s="7">
        <f t="shared" si="174"/>
        <v>46863.7</v>
      </c>
      <c r="AE159" s="7">
        <f t="shared" ref="AE159:AF159" si="175">AE144+AE149+AE154</f>
        <v>43959.664000000004</v>
      </c>
      <c r="AF159" s="7">
        <f t="shared" si="175"/>
        <v>42910.714</v>
      </c>
      <c r="AG159" s="7">
        <f t="shared" si="174"/>
        <v>38361.936000000002</v>
      </c>
      <c r="AH159" s="7">
        <f t="shared" ref="AH159:AK159" si="176">AH144+AH149+AH154</f>
        <v>36154.630000000005</v>
      </c>
      <c r="AI159" s="7">
        <f t="shared" ref="AI159:AJ159" si="177">AI144+AI149+AI154</f>
        <v>35542.589999999997</v>
      </c>
      <c r="AJ159" s="7">
        <f t="shared" si="177"/>
        <v>37371</v>
      </c>
      <c r="AK159" s="7">
        <f t="shared" si="176"/>
        <v>35753</v>
      </c>
      <c r="AL159" s="7"/>
    </row>
    <row r="160" spans="1:38">
      <c r="A160" s="7" t="s">
        <v>2</v>
      </c>
      <c r="B160" s="7"/>
      <c r="C160" s="7"/>
      <c r="D160" s="7"/>
      <c r="E160" s="7"/>
      <c r="F160" s="7">
        <f t="shared" ref="F160:AG160" si="178">F145+F150+F155</f>
        <v>0</v>
      </c>
      <c r="G160" s="7">
        <f t="shared" si="178"/>
        <v>0</v>
      </c>
      <c r="H160" s="7">
        <f t="shared" si="178"/>
        <v>0</v>
      </c>
      <c r="I160" s="7">
        <f t="shared" si="178"/>
        <v>0</v>
      </c>
      <c r="J160" s="7">
        <f t="shared" si="178"/>
        <v>0</v>
      </c>
      <c r="K160" s="7">
        <f t="shared" si="178"/>
        <v>0</v>
      </c>
      <c r="L160" s="7">
        <f t="shared" si="178"/>
        <v>0</v>
      </c>
      <c r="M160" s="7">
        <f t="shared" si="178"/>
        <v>0</v>
      </c>
      <c r="N160" s="7">
        <f t="shared" si="178"/>
        <v>0</v>
      </c>
      <c r="O160" s="7">
        <f t="shared" si="178"/>
        <v>0</v>
      </c>
      <c r="P160" s="7">
        <f t="shared" si="178"/>
        <v>0</v>
      </c>
      <c r="Q160" s="7">
        <f t="shared" si="178"/>
        <v>0</v>
      </c>
      <c r="R160" s="7">
        <f t="shared" si="178"/>
        <v>34032</v>
      </c>
      <c r="S160" s="7">
        <f t="shared" si="178"/>
        <v>32294</v>
      </c>
      <c r="T160" s="7">
        <f t="shared" si="178"/>
        <v>31891</v>
      </c>
      <c r="U160" s="7">
        <f t="shared" si="178"/>
        <v>32840</v>
      </c>
      <c r="V160" s="7">
        <f t="shared" si="178"/>
        <v>34971</v>
      </c>
      <c r="W160" s="7">
        <f t="shared" si="178"/>
        <v>37357</v>
      </c>
      <c r="X160" s="7">
        <f t="shared" si="178"/>
        <v>39914</v>
      </c>
      <c r="Y160" s="7">
        <f t="shared" si="178"/>
        <v>42387</v>
      </c>
      <c r="Z160" s="7">
        <f t="shared" si="178"/>
        <v>47117</v>
      </c>
      <c r="AA160" s="7">
        <f t="shared" si="178"/>
        <v>51045.93</v>
      </c>
      <c r="AB160" s="7">
        <f t="shared" si="178"/>
        <v>53240.1</v>
      </c>
      <c r="AC160" s="7">
        <f t="shared" si="178"/>
        <v>52821.33</v>
      </c>
      <c r="AD160" s="7">
        <f t="shared" si="178"/>
        <v>52523.270000000004</v>
      </c>
      <c r="AE160" s="7">
        <f t="shared" ref="AE160:AF160" si="179">AE145+AE150+AE155</f>
        <v>51170.546999999999</v>
      </c>
      <c r="AF160" s="7">
        <f t="shared" si="179"/>
        <v>47263.29</v>
      </c>
      <c r="AG160" s="7">
        <f t="shared" si="178"/>
        <v>46375.18</v>
      </c>
      <c r="AH160" s="7">
        <f t="shared" ref="AH160:AK160" si="180">AH145+AH150+AH155</f>
        <v>43056.563999999998</v>
      </c>
      <c r="AI160" s="7">
        <f t="shared" ref="AI160:AJ160" si="181">AI145+AI150+AI155</f>
        <v>41484.9</v>
      </c>
      <c r="AJ160" s="7">
        <f t="shared" si="181"/>
        <v>39437</v>
      </c>
      <c r="AK160" s="7">
        <f t="shared" si="180"/>
        <v>39436</v>
      </c>
      <c r="AL160" s="7"/>
    </row>
    <row r="161" spans="1:38">
      <c r="A161" s="7" t="s">
        <v>22</v>
      </c>
      <c r="B161" s="7"/>
      <c r="C161" s="7"/>
      <c r="D161" s="7"/>
      <c r="E161" s="7"/>
      <c r="F161" s="7">
        <f t="shared" ref="F161:AG161" si="182">F146+F151+F156</f>
        <v>0</v>
      </c>
      <c r="G161" s="7">
        <f t="shared" si="182"/>
        <v>0</v>
      </c>
      <c r="H161" s="7">
        <f t="shared" si="182"/>
        <v>0</v>
      </c>
      <c r="I161" s="7">
        <f t="shared" si="182"/>
        <v>0</v>
      </c>
      <c r="J161" s="7">
        <f t="shared" si="182"/>
        <v>0</v>
      </c>
      <c r="K161" s="7">
        <f t="shared" si="182"/>
        <v>0</v>
      </c>
      <c r="L161" s="7">
        <f t="shared" si="182"/>
        <v>0</v>
      </c>
      <c r="M161" s="7">
        <f t="shared" si="182"/>
        <v>0</v>
      </c>
      <c r="N161" s="7">
        <f t="shared" si="182"/>
        <v>0</v>
      </c>
      <c r="O161" s="7">
        <f t="shared" si="182"/>
        <v>0</v>
      </c>
      <c r="P161" s="7">
        <f t="shared" si="182"/>
        <v>0</v>
      </c>
      <c r="Q161" s="7">
        <f t="shared" si="182"/>
        <v>0</v>
      </c>
      <c r="R161" s="7">
        <f t="shared" si="182"/>
        <v>9502</v>
      </c>
      <c r="S161" s="7">
        <f t="shared" si="182"/>
        <v>8884</v>
      </c>
      <c r="T161" s="7">
        <f t="shared" si="182"/>
        <v>9951</v>
      </c>
      <c r="U161" s="7">
        <f t="shared" si="182"/>
        <v>11037</v>
      </c>
      <c r="V161" s="7">
        <f t="shared" si="182"/>
        <v>12626</v>
      </c>
      <c r="W161" s="7">
        <f t="shared" si="182"/>
        <v>13050</v>
      </c>
      <c r="X161" s="7">
        <f t="shared" si="182"/>
        <v>14374</v>
      </c>
      <c r="Y161" s="7">
        <f t="shared" si="182"/>
        <v>14088</v>
      </c>
      <c r="Z161" s="7">
        <f t="shared" si="182"/>
        <v>14170</v>
      </c>
      <c r="AA161" s="7">
        <f t="shared" si="182"/>
        <v>14906.849999999999</v>
      </c>
      <c r="AB161" s="7">
        <f t="shared" si="182"/>
        <v>14415.68</v>
      </c>
      <c r="AC161" s="7">
        <f t="shared" si="182"/>
        <v>12814.15</v>
      </c>
      <c r="AD161" s="7">
        <f t="shared" si="182"/>
        <v>11550.33</v>
      </c>
      <c r="AE161" s="7">
        <f t="shared" ref="AE161:AF161" si="183">AE146+AE151+AE156</f>
        <v>11639.374</v>
      </c>
      <c r="AF161" s="7">
        <f t="shared" si="183"/>
        <v>10869.683999999999</v>
      </c>
      <c r="AG161" s="7">
        <f t="shared" si="182"/>
        <v>10258.362000000001</v>
      </c>
      <c r="AH161" s="7">
        <f t="shared" ref="AH161:AK161" si="184">AH146+AH151+AH156</f>
        <v>9369.5770000000011</v>
      </c>
      <c r="AI161" s="7">
        <f t="shared" ref="AI161:AJ161" si="185">AI146+AI151+AI156</f>
        <v>8635.07</v>
      </c>
      <c r="AJ161" s="7">
        <f t="shared" si="185"/>
        <v>8648</v>
      </c>
      <c r="AK161" s="7">
        <f t="shared" si="184"/>
        <v>8130</v>
      </c>
      <c r="AL161" s="7"/>
    </row>
    <row r="162" spans="1:38">
      <c r="A162" s="8"/>
      <c r="B162" s="8"/>
      <c r="C162" s="8"/>
      <c r="D162" s="8"/>
      <c r="E162" s="8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</row>
    <row r="163" spans="1:38" ht="13.5" thickBot="1">
      <c r="A163" s="25" t="s">
        <v>12</v>
      </c>
      <c r="B163" s="25"/>
      <c r="C163" s="25"/>
      <c r="D163" s="26"/>
      <c r="E163" s="26"/>
      <c r="F163" s="26" t="s">
        <v>13</v>
      </c>
      <c r="G163" s="26" t="s">
        <v>14</v>
      </c>
      <c r="H163" s="26" t="s">
        <v>15</v>
      </c>
      <c r="I163" s="26" t="s">
        <v>16</v>
      </c>
      <c r="J163" s="26" t="s">
        <v>21</v>
      </c>
      <c r="K163" s="26" t="s">
        <v>23</v>
      </c>
      <c r="L163" s="26" t="s">
        <v>24</v>
      </c>
      <c r="M163" s="26" t="s">
        <v>38</v>
      </c>
      <c r="N163" s="26" t="s">
        <v>44</v>
      </c>
      <c r="O163" s="26" t="s">
        <v>45</v>
      </c>
      <c r="P163" s="26" t="s">
        <v>46</v>
      </c>
      <c r="Q163" s="26" t="s">
        <v>50</v>
      </c>
      <c r="R163" s="27" t="s">
        <v>53</v>
      </c>
      <c r="S163" s="27" t="s">
        <v>55</v>
      </c>
      <c r="T163" s="27" t="s">
        <v>58</v>
      </c>
      <c r="U163" s="27" t="s">
        <v>61</v>
      </c>
      <c r="V163" s="27" t="s">
        <v>63</v>
      </c>
      <c r="W163" s="27" t="s">
        <v>65</v>
      </c>
      <c r="X163" s="27" t="s">
        <v>67</v>
      </c>
      <c r="Y163" s="27" t="s">
        <v>69</v>
      </c>
      <c r="Z163" s="27" t="s">
        <v>71</v>
      </c>
      <c r="AA163" s="27" t="s">
        <v>76</v>
      </c>
      <c r="AB163" s="27" t="s">
        <v>79</v>
      </c>
      <c r="AC163" s="27" t="s">
        <v>107</v>
      </c>
      <c r="AD163" s="27" t="s">
        <v>111</v>
      </c>
      <c r="AE163" s="27" t="s">
        <v>114</v>
      </c>
      <c r="AF163" s="27" t="s">
        <v>136</v>
      </c>
      <c r="AG163" s="27" t="s">
        <v>137</v>
      </c>
      <c r="AH163" s="190" t="s">
        <v>145</v>
      </c>
      <c r="AI163" s="190" t="s">
        <v>148</v>
      </c>
      <c r="AJ163" s="190" t="s">
        <v>150</v>
      </c>
      <c r="AK163" s="190" t="s">
        <v>151</v>
      </c>
      <c r="AL163" s="190"/>
    </row>
    <row r="164" spans="1:38">
      <c r="A164" s="16" t="s">
        <v>9</v>
      </c>
      <c r="B164" s="7"/>
      <c r="C164" s="7"/>
      <c r="D164" s="7"/>
      <c r="E164" s="7"/>
      <c r="F164" s="7">
        <f t="shared" ref="F164:AG164" si="186">F165+F171+F177</f>
        <v>369561</v>
      </c>
      <c r="G164" s="7">
        <f t="shared" si="186"/>
        <v>360438</v>
      </c>
      <c r="H164" s="7">
        <f t="shared" si="186"/>
        <v>356915</v>
      </c>
      <c r="I164" s="7">
        <f t="shared" si="186"/>
        <v>356144</v>
      </c>
      <c r="J164" s="7">
        <f t="shared" si="186"/>
        <v>367256</v>
      </c>
      <c r="K164" s="7">
        <f t="shared" si="186"/>
        <v>364357</v>
      </c>
      <c r="L164" s="7">
        <f t="shared" si="186"/>
        <v>367216</v>
      </c>
      <c r="M164" s="7">
        <f t="shared" si="186"/>
        <v>381635</v>
      </c>
      <c r="N164" s="7">
        <f t="shared" si="186"/>
        <v>401127</v>
      </c>
      <c r="O164" s="7">
        <f t="shared" si="186"/>
        <v>398344</v>
      </c>
      <c r="P164" s="7">
        <f t="shared" si="186"/>
        <v>385309</v>
      </c>
      <c r="Q164" s="7">
        <f t="shared" si="186"/>
        <v>369846</v>
      </c>
      <c r="R164" s="7">
        <f t="shared" si="186"/>
        <v>358277</v>
      </c>
      <c r="S164" s="7">
        <f t="shared" si="186"/>
        <v>349422</v>
      </c>
      <c r="T164" s="7">
        <f t="shared" si="186"/>
        <v>358533</v>
      </c>
      <c r="U164" s="7">
        <f t="shared" si="186"/>
        <v>373237</v>
      </c>
      <c r="V164" s="7">
        <f t="shared" si="186"/>
        <v>380989</v>
      </c>
      <c r="W164" s="7">
        <f t="shared" si="186"/>
        <v>387083</v>
      </c>
      <c r="X164" s="7">
        <f t="shared" si="186"/>
        <v>402525</v>
      </c>
      <c r="Y164" s="7">
        <f t="shared" si="186"/>
        <v>409196</v>
      </c>
      <c r="Z164" s="7">
        <f t="shared" si="186"/>
        <v>438019</v>
      </c>
      <c r="AA164" s="7">
        <f t="shared" si="186"/>
        <v>459178.48</v>
      </c>
      <c r="AB164" s="7">
        <f t="shared" si="186"/>
        <v>468587.02</v>
      </c>
      <c r="AC164" s="7">
        <f t="shared" si="186"/>
        <v>475623.36</v>
      </c>
      <c r="AD164" s="7">
        <f t="shared" si="186"/>
        <v>456201.88</v>
      </c>
      <c r="AE164" s="7">
        <f t="shared" ref="AE164:AF164" si="187">AE165+AE171+AE177</f>
        <v>440642.61300000001</v>
      </c>
      <c r="AF164" s="7">
        <f t="shared" si="187"/>
        <v>414813.01199999999</v>
      </c>
      <c r="AG164" s="7">
        <f t="shared" si="186"/>
        <v>392574.70499999996</v>
      </c>
      <c r="AH164" s="7">
        <f t="shared" ref="AH164:AK164" si="188">AH165+AH171+AH177</f>
        <v>368103.13300000003</v>
      </c>
      <c r="AI164" s="7">
        <f t="shared" ref="AI164:AJ164" si="189">AI165+AI171+AI177</f>
        <v>364506.47</v>
      </c>
      <c r="AJ164" s="7">
        <f t="shared" si="189"/>
        <v>362923</v>
      </c>
      <c r="AK164" s="7">
        <f t="shared" si="188"/>
        <v>363315</v>
      </c>
      <c r="AL164" s="7"/>
    </row>
    <row r="165" spans="1:38">
      <c r="A165" s="7" t="s">
        <v>17</v>
      </c>
      <c r="B165" s="7"/>
      <c r="C165" s="7"/>
      <c r="D165" s="7"/>
      <c r="E165" s="7"/>
      <c r="F165" s="7">
        <f t="shared" ref="F165:Z165" si="190">F166+F167+F169</f>
        <v>21863</v>
      </c>
      <c r="G165" s="7">
        <f t="shared" si="190"/>
        <v>20636</v>
      </c>
      <c r="H165" s="7">
        <f t="shared" si="190"/>
        <v>20777</v>
      </c>
      <c r="I165" s="7">
        <f t="shared" si="190"/>
        <v>21191</v>
      </c>
      <c r="J165" s="7">
        <f t="shared" si="190"/>
        <v>21092</v>
      </c>
      <c r="K165" s="7">
        <f t="shared" si="190"/>
        <v>22190</v>
      </c>
      <c r="L165" s="7">
        <f t="shared" si="190"/>
        <v>21065</v>
      </c>
      <c r="M165" s="7">
        <f t="shared" si="190"/>
        <v>22066</v>
      </c>
      <c r="N165" s="7">
        <f t="shared" si="190"/>
        <v>23746</v>
      </c>
      <c r="O165" s="7">
        <f t="shared" si="190"/>
        <v>23665</v>
      </c>
      <c r="P165" s="7">
        <f t="shared" si="190"/>
        <v>24286</v>
      </c>
      <c r="Q165" s="7">
        <f t="shared" si="190"/>
        <v>22875</v>
      </c>
      <c r="R165" s="7">
        <f t="shared" si="190"/>
        <v>22460</v>
      </c>
      <c r="S165" s="7">
        <f t="shared" si="190"/>
        <v>22633</v>
      </c>
      <c r="T165" s="7">
        <f t="shared" si="190"/>
        <v>21649</v>
      </c>
      <c r="U165" s="7">
        <f t="shared" si="190"/>
        <v>21979</v>
      </c>
      <c r="V165" s="7">
        <f t="shared" si="190"/>
        <v>22405</v>
      </c>
      <c r="W165" s="7">
        <f t="shared" si="190"/>
        <v>21638</v>
      </c>
      <c r="X165" s="7">
        <f t="shared" si="190"/>
        <v>21081</v>
      </c>
      <c r="Y165" s="7">
        <f t="shared" si="190"/>
        <v>20945</v>
      </c>
      <c r="Z165" s="7">
        <f t="shared" si="190"/>
        <v>21858</v>
      </c>
      <c r="AA165" s="7">
        <f>AA166+AA167+AA169+AA168</f>
        <v>21660.18</v>
      </c>
      <c r="AB165" s="7">
        <f>AB166+AB167+AB169+AB168</f>
        <v>21640.5</v>
      </c>
      <c r="AC165" s="7">
        <f>AC166+AC167+AC169+AC168</f>
        <v>23926.04</v>
      </c>
      <c r="AD165" s="7">
        <f>AD166+AD167+AD169+AD168</f>
        <v>22524.82</v>
      </c>
      <c r="AE165" s="7">
        <f t="shared" ref="AE165:AF165" si="191">AE166+AE167+AE169+AE168</f>
        <v>20940.117999999999</v>
      </c>
      <c r="AF165" s="7">
        <f t="shared" si="191"/>
        <v>19690.769</v>
      </c>
      <c r="AG165" s="7">
        <f>AG166+AG167+AG169+AG168</f>
        <v>19793.760999999999</v>
      </c>
      <c r="AH165" s="7">
        <f>AH166+AH167+AH169+AH168</f>
        <v>16146.519</v>
      </c>
      <c r="AI165" s="7">
        <f>AI166+AI167+AI169+AI168</f>
        <v>15239</v>
      </c>
      <c r="AJ165" s="7">
        <f>AJ166+AJ167+AJ169+AJ168</f>
        <v>13266</v>
      </c>
      <c r="AK165" s="7">
        <f>AK166+AK167+AK169+AK168</f>
        <v>12518</v>
      </c>
      <c r="AL165" s="7"/>
    </row>
    <row r="166" spans="1:38">
      <c r="A166" s="6" t="s">
        <v>1</v>
      </c>
      <c r="B166" s="6"/>
      <c r="C166" s="6"/>
      <c r="D166" s="6"/>
      <c r="E166" s="6"/>
      <c r="F166" s="9">
        <v>11340</v>
      </c>
      <c r="G166" s="9">
        <f>10374+14</f>
        <v>10388</v>
      </c>
      <c r="H166" s="9">
        <f>10928+62</f>
        <v>10990</v>
      </c>
      <c r="I166" s="9">
        <f>10289+9</f>
        <v>10298</v>
      </c>
      <c r="J166" s="9">
        <f>10584+15</f>
        <v>10599</v>
      </c>
      <c r="K166" s="9">
        <v>12045</v>
      </c>
      <c r="L166" s="9">
        <v>11593</v>
      </c>
      <c r="M166" s="9">
        <v>11958</v>
      </c>
      <c r="N166" s="9">
        <v>13217</v>
      </c>
      <c r="O166" s="9">
        <v>12334</v>
      </c>
      <c r="P166" s="9">
        <v>12784</v>
      </c>
      <c r="Q166" s="9">
        <v>11464</v>
      </c>
      <c r="R166" s="9">
        <v>11274</v>
      </c>
      <c r="S166" s="9">
        <v>11020</v>
      </c>
      <c r="T166" s="9">
        <v>10757</v>
      </c>
      <c r="U166" s="9">
        <v>10899</v>
      </c>
      <c r="V166" s="9">
        <v>11197</v>
      </c>
      <c r="W166" s="14">
        <v>11434</v>
      </c>
      <c r="X166" s="14">
        <v>12295</v>
      </c>
      <c r="Y166" s="14">
        <v>11675</v>
      </c>
      <c r="Z166" s="14">
        <v>12101</v>
      </c>
      <c r="AA166" s="175">
        <v>12508.5</v>
      </c>
      <c r="AB166" s="175">
        <v>12122</v>
      </c>
      <c r="AC166" s="175">
        <v>13632</v>
      </c>
      <c r="AD166" s="175">
        <v>12889</v>
      </c>
      <c r="AE166" s="175">
        <v>11728.4</v>
      </c>
      <c r="AF166" s="175">
        <v>10380</v>
      </c>
      <c r="AG166" s="175">
        <v>10746.88</v>
      </c>
      <c r="AH166" s="191">
        <v>8566.6</v>
      </c>
      <c r="AI166" s="191">
        <v>8442</v>
      </c>
      <c r="AJ166" s="191">
        <v>7981</v>
      </c>
      <c r="AK166" s="191">
        <v>7478</v>
      </c>
      <c r="AL166" s="191"/>
    </row>
    <row r="167" spans="1:38">
      <c r="A167" s="6" t="s">
        <v>2</v>
      </c>
      <c r="B167" s="6"/>
      <c r="C167" s="6"/>
      <c r="D167" s="6"/>
      <c r="E167" s="6"/>
      <c r="F167" s="9">
        <v>6791</v>
      </c>
      <c r="G167" s="9">
        <f>5597+1137</f>
        <v>6734</v>
      </c>
      <c r="H167" s="9">
        <f>5291+1090</f>
        <v>6381</v>
      </c>
      <c r="I167" s="9">
        <f>6348+967</f>
        <v>7315</v>
      </c>
      <c r="J167" s="9">
        <f>5865+1044</f>
        <v>6909</v>
      </c>
      <c r="K167" s="9">
        <v>7281</v>
      </c>
      <c r="L167" s="9">
        <v>6756</v>
      </c>
      <c r="M167" s="9">
        <v>7208</v>
      </c>
      <c r="N167" s="9">
        <v>7483</v>
      </c>
      <c r="O167" s="9">
        <v>8585</v>
      </c>
      <c r="P167" s="9">
        <v>8532</v>
      </c>
      <c r="Q167" s="9">
        <v>8167</v>
      </c>
      <c r="R167" s="9">
        <v>8132</v>
      </c>
      <c r="S167" s="9">
        <v>8300</v>
      </c>
      <c r="T167" s="9">
        <v>7658</v>
      </c>
      <c r="U167" s="9">
        <v>7526</v>
      </c>
      <c r="V167" s="9">
        <v>7550</v>
      </c>
      <c r="W167" s="15">
        <v>6802</v>
      </c>
      <c r="X167" s="15">
        <v>7064</v>
      </c>
      <c r="Y167" s="15">
        <v>7363</v>
      </c>
      <c r="Z167" s="15">
        <v>7931</v>
      </c>
      <c r="AA167" s="176">
        <v>7681.93</v>
      </c>
      <c r="AB167" s="176">
        <v>7838.14</v>
      </c>
      <c r="AC167" s="176">
        <v>8727.64</v>
      </c>
      <c r="AD167" s="176">
        <v>8762.82</v>
      </c>
      <c r="AE167" s="176">
        <v>8331.2199999999993</v>
      </c>
      <c r="AF167" s="176">
        <v>8193.1020000000008</v>
      </c>
      <c r="AG167" s="176">
        <v>8165.9</v>
      </c>
      <c r="AH167" s="191">
        <v>6690.1</v>
      </c>
      <c r="AI167" s="191">
        <v>5859</v>
      </c>
      <c r="AJ167" s="191">
        <v>4662</v>
      </c>
      <c r="AK167" s="191">
        <v>4331</v>
      </c>
      <c r="AL167" s="191"/>
    </row>
    <row r="168" spans="1:38">
      <c r="A168" s="6" t="s">
        <v>11</v>
      </c>
      <c r="B168" s="6"/>
      <c r="C168" s="6"/>
      <c r="D168" s="6"/>
      <c r="E168" s="6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15"/>
      <c r="X168" s="15"/>
      <c r="Y168" s="15"/>
      <c r="Z168" s="15"/>
      <c r="AA168" s="176">
        <v>0</v>
      </c>
      <c r="AB168" s="176">
        <v>0</v>
      </c>
      <c r="AC168" s="176">
        <v>0</v>
      </c>
      <c r="AD168" s="176">
        <v>0</v>
      </c>
      <c r="AE168" s="176">
        <v>0</v>
      </c>
      <c r="AF168" s="176">
        <v>0</v>
      </c>
      <c r="AG168" s="176">
        <v>0</v>
      </c>
      <c r="AH168" s="191">
        <v>0</v>
      </c>
      <c r="AI168" s="191">
        <v>0</v>
      </c>
      <c r="AJ168" s="191">
        <v>0</v>
      </c>
      <c r="AK168" s="191">
        <v>0</v>
      </c>
      <c r="AL168" s="191"/>
    </row>
    <row r="169" spans="1:38">
      <c r="A169" s="6" t="s">
        <v>22</v>
      </c>
      <c r="B169" s="6"/>
      <c r="C169" s="6"/>
      <c r="D169" s="6"/>
      <c r="E169" s="6"/>
      <c r="F169" s="9">
        <v>3732</v>
      </c>
      <c r="G169" s="9">
        <v>3514</v>
      </c>
      <c r="H169" s="9">
        <v>3406</v>
      </c>
      <c r="I169" s="9">
        <v>3578</v>
      </c>
      <c r="J169" s="9">
        <v>3584</v>
      </c>
      <c r="K169" s="9">
        <v>2864</v>
      </c>
      <c r="L169" s="9">
        <v>2716</v>
      </c>
      <c r="M169" s="9">
        <v>2900</v>
      </c>
      <c r="N169" s="9">
        <v>3046</v>
      </c>
      <c r="O169" s="9">
        <v>2746</v>
      </c>
      <c r="P169" s="9">
        <v>2970</v>
      </c>
      <c r="Q169" s="9">
        <v>3244</v>
      </c>
      <c r="R169" s="9">
        <v>3054</v>
      </c>
      <c r="S169" s="9">
        <v>3313</v>
      </c>
      <c r="T169" s="9">
        <v>3234</v>
      </c>
      <c r="U169" s="9">
        <v>3554</v>
      </c>
      <c r="V169" s="9">
        <v>3658</v>
      </c>
      <c r="W169" s="15">
        <v>3402</v>
      </c>
      <c r="X169" s="15">
        <v>1722</v>
      </c>
      <c r="Y169" s="15">
        <v>1907</v>
      </c>
      <c r="Z169" s="15">
        <v>1826</v>
      </c>
      <c r="AA169" s="176">
        <v>1469.75</v>
      </c>
      <c r="AB169" s="176">
        <v>1680.36</v>
      </c>
      <c r="AC169" s="176">
        <v>1566.4</v>
      </c>
      <c r="AD169" s="176">
        <v>873</v>
      </c>
      <c r="AE169" s="176">
        <v>880.49800000000005</v>
      </c>
      <c r="AF169" s="176">
        <v>1117.6669999999999</v>
      </c>
      <c r="AG169" s="176">
        <v>880.98099999999999</v>
      </c>
      <c r="AH169" s="191">
        <v>889.81899999999996</v>
      </c>
      <c r="AI169" s="191">
        <v>938</v>
      </c>
      <c r="AJ169" s="191">
        <v>623</v>
      </c>
      <c r="AK169" s="191">
        <v>709</v>
      </c>
      <c r="AL169" s="191"/>
    </row>
    <row r="170" spans="1:38">
      <c r="A170" s="6"/>
      <c r="B170" s="6"/>
      <c r="C170" s="6"/>
      <c r="D170" s="6"/>
      <c r="E170" s="6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</row>
    <row r="171" spans="1:38">
      <c r="A171" s="7" t="s">
        <v>18</v>
      </c>
      <c r="B171" s="7"/>
      <c r="C171" s="7"/>
      <c r="D171" s="7"/>
      <c r="E171" s="7"/>
      <c r="F171" s="7">
        <f t="shared" ref="F171:Z171" si="192">F172+F173+F175</f>
        <v>184571</v>
      </c>
      <c r="G171" s="7">
        <f t="shared" si="192"/>
        <v>180960</v>
      </c>
      <c r="H171" s="7">
        <f t="shared" si="192"/>
        <v>179264</v>
      </c>
      <c r="I171" s="7">
        <f t="shared" si="192"/>
        <v>179074</v>
      </c>
      <c r="J171" s="7">
        <f t="shared" si="192"/>
        <v>182251</v>
      </c>
      <c r="K171" s="7">
        <f t="shared" si="192"/>
        <v>180412</v>
      </c>
      <c r="L171" s="7">
        <f t="shared" si="192"/>
        <v>183515</v>
      </c>
      <c r="M171" s="7">
        <f t="shared" si="192"/>
        <v>188194</v>
      </c>
      <c r="N171" s="7">
        <f t="shared" si="192"/>
        <v>196629</v>
      </c>
      <c r="O171" s="7">
        <f t="shared" si="192"/>
        <v>198277</v>
      </c>
      <c r="P171" s="7">
        <f t="shared" si="192"/>
        <v>191703</v>
      </c>
      <c r="Q171" s="7">
        <f t="shared" si="192"/>
        <v>185524</v>
      </c>
      <c r="R171" s="7">
        <f t="shared" si="192"/>
        <v>178411</v>
      </c>
      <c r="S171" s="7">
        <f t="shared" si="192"/>
        <v>173567</v>
      </c>
      <c r="T171" s="7">
        <f t="shared" si="192"/>
        <v>178026</v>
      </c>
      <c r="U171" s="7">
        <f t="shared" si="192"/>
        <v>184908</v>
      </c>
      <c r="V171" s="7">
        <f t="shared" si="192"/>
        <v>188197</v>
      </c>
      <c r="W171" s="7">
        <f t="shared" si="192"/>
        <v>192911</v>
      </c>
      <c r="X171" s="7">
        <f t="shared" si="192"/>
        <v>203465</v>
      </c>
      <c r="Y171" s="7">
        <f t="shared" si="192"/>
        <v>206570</v>
      </c>
      <c r="Z171" s="7">
        <f t="shared" si="192"/>
        <v>220233</v>
      </c>
      <c r="AA171" s="7">
        <f>AA172+AA173+AA175+AA174</f>
        <v>230814.01</v>
      </c>
      <c r="AB171" s="7">
        <f>AB172+AB173+AB175+AB174</f>
        <v>238521.71</v>
      </c>
      <c r="AC171" s="7">
        <f>AC172+AC173+AC175+AC174</f>
        <v>241491.44999999998</v>
      </c>
      <c r="AD171" s="7">
        <f>AD172+AD173+AD175+AD174</f>
        <v>234337.07</v>
      </c>
      <c r="AE171" s="7">
        <f t="shared" ref="AE171:AF171" si="193">AE172+AE173+AE175+AE174</f>
        <v>223882.511</v>
      </c>
      <c r="AF171" s="7">
        <f t="shared" si="193"/>
        <v>211384.29900000003</v>
      </c>
      <c r="AG171" s="7">
        <f>AG172+AG173+AG175+AG174</f>
        <v>197562.82199999999</v>
      </c>
      <c r="AH171" s="7">
        <f>AH172+AH173+AH175+AH174</f>
        <v>186958.50699999998</v>
      </c>
      <c r="AI171" s="7">
        <f>AI172+AI173+AI175+AI174</f>
        <v>185537</v>
      </c>
      <c r="AJ171" s="7">
        <f>AJ172+AJ173+AJ175+AJ174</f>
        <v>185221</v>
      </c>
      <c r="AK171" s="198">
        <f>AK172+AK173+AK175+AK174</f>
        <v>182449</v>
      </c>
      <c r="AL171" s="7"/>
    </row>
    <row r="172" spans="1:38">
      <c r="A172" s="6" t="s">
        <v>1</v>
      </c>
      <c r="B172" s="6"/>
      <c r="C172" s="6"/>
      <c r="D172" s="6"/>
      <c r="E172" s="6"/>
      <c r="F172" s="9">
        <v>128137</v>
      </c>
      <c r="G172" s="9">
        <f>125839+271</f>
        <v>126110</v>
      </c>
      <c r="H172" s="9">
        <f>125493+330</f>
        <v>125823</v>
      </c>
      <c r="I172" s="9">
        <f>126275+269</f>
        <v>126544</v>
      </c>
      <c r="J172" s="9">
        <f>130419+169</f>
        <v>130588</v>
      </c>
      <c r="K172" s="9">
        <v>130235</v>
      </c>
      <c r="L172" s="9">
        <v>133249</v>
      </c>
      <c r="M172" s="9">
        <v>137265</v>
      </c>
      <c r="N172" s="9">
        <v>143343</v>
      </c>
      <c r="O172" s="9">
        <v>143837</v>
      </c>
      <c r="P172" s="9">
        <v>134333</v>
      </c>
      <c r="Q172" s="9">
        <v>128478</v>
      </c>
      <c r="R172" s="9">
        <v>122077</v>
      </c>
      <c r="S172" s="9">
        <v>121225</v>
      </c>
      <c r="T172" s="9">
        <v>124763</v>
      </c>
      <c r="U172" s="9">
        <v>131928</v>
      </c>
      <c r="V172" s="9">
        <v>132949</v>
      </c>
      <c r="W172" s="14">
        <v>133453</v>
      </c>
      <c r="X172" s="14">
        <v>141554</v>
      </c>
      <c r="Y172" s="14">
        <v>144573</v>
      </c>
      <c r="Z172" s="14">
        <v>157591</v>
      </c>
      <c r="AA172" s="175">
        <v>167630.17000000001</v>
      </c>
      <c r="AB172" s="175">
        <v>169719.24</v>
      </c>
      <c r="AC172" s="175">
        <v>170844.91</v>
      </c>
      <c r="AD172" s="175">
        <v>163117.65</v>
      </c>
      <c r="AE172" s="175">
        <v>155742.27499999999</v>
      </c>
      <c r="AF172" s="175">
        <v>145185.36300000001</v>
      </c>
      <c r="AG172" s="175">
        <v>132951.10399999999</v>
      </c>
      <c r="AH172" s="191">
        <v>124987.97199999999</v>
      </c>
      <c r="AI172" s="191">
        <v>126762</v>
      </c>
      <c r="AJ172" s="191">
        <v>126527</v>
      </c>
      <c r="AK172" s="199">
        <v>123084</v>
      </c>
      <c r="AL172" s="7"/>
    </row>
    <row r="173" spans="1:38">
      <c r="A173" s="6" t="s">
        <v>2</v>
      </c>
      <c r="B173" s="6"/>
      <c r="C173" s="6"/>
      <c r="D173" s="6"/>
      <c r="E173" s="6"/>
      <c r="F173" s="9">
        <v>44590</v>
      </c>
      <c r="G173" s="9">
        <f>42473+1258</f>
        <v>43731</v>
      </c>
      <c r="H173" s="9">
        <f>41890+1186</f>
        <v>43076</v>
      </c>
      <c r="I173" s="9">
        <f>40593+1321</f>
        <v>41914</v>
      </c>
      <c r="J173" s="9">
        <f>39931+1243</f>
        <v>41174</v>
      </c>
      <c r="K173" s="9">
        <v>41276</v>
      </c>
      <c r="L173" s="9">
        <v>41205</v>
      </c>
      <c r="M173" s="9">
        <v>41942</v>
      </c>
      <c r="N173" s="9">
        <v>43975</v>
      </c>
      <c r="O173" s="9">
        <v>44651</v>
      </c>
      <c r="P173" s="9">
        <v>46486</v>
      </c>
      <c r="Q173" s="9">
        <v>46457</v>
      </c>
      <c r="R173" s="9">
        <v>45802</v>
      </c>
      <c r="S173" s="9">
        <v>41798</v>
      </c>
      <c r="T173" s="9">
        <v>42159</v>
      </c>
      <c r="U173" s="9">
        <v>41959</v>
      </c>
      <c r="V173" s="9">
        <v>43925</v>
      </c>
      <c r="W173" s="15">
        <v>48197</v>
      </c>
      <c r="X173" s="15">
        <v>50914</v>
      </c>
      <c r="Y173" s="15">
        <v>51325</v>
      </c>
      <c r="Z173" s="15">
        <v>52255</v>
      </c>
      <c r="AA173" s="176">
        <v>52779.65</v>
      </c>
      <c r="AB173" s="176">
        <v>57736.3</v>
      </c>
      <c r="AC173" s="176">
        <v>59690.06</v>
      </c>
      <c r="AD173" s="176">
        <v>60127.51</v>
      </c>
      <c r="AE173" s="176">
        <v>57432.936999999998</v>
      </c>
      <c r="AF173" s="176">
        <v>55993.124000000003</v>
      </c>
      <c r="AG173" s="176">
        <v>54900.635999999999</v>
      </c>
      <c r="AH173" s="191">
        <v>52013.493999999999</v>
      </c>
      <c r="AI173" s="191">
        <v>49161</v>
      </c>
      <c r="AJ173" s="191">
        <v>49194</v>
      </c>
      <c r="AK173" s="199">
        <v>49589</v>
      </c>
      <c r="AL173" s="7"/>
    </row>
    <row r="174" spans="1:38">
      <c r="A174" s="6" t="s">
        <v>11</v>
      </c>
      <c r="B174" s="6"/>
      <c r="C174" s="6"/>
      <c r="D174" s="6"/>
      <c r="E174" s="6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15"/>
      <c r="X174" s="15"/>
      <c r="Y174" s="15"/>
      <c r="Z174" s="15"/>
      <c r="AA174" s="176">
        <v>2.0099999999999998</v>
      </c>
      <c r="AB174" s="176">
        <v>16.850000000000001</v>
      </c>
      <c r="AC174" s="176">
        <v>4.68</v>
      </c>
      <c r="AD174" s="176">
        <v>23.5</v>
      </c>
      <c r="AE174" s="176">
        <v>2.5</v>
      </c>
      <c r="AF174" s="176">
        <v>10</v>
      </c>
      <c r="AG174" s="176">
        <v>0</v>
      </c>
      <c r="AH174" s="191">
        <v>13.5</v>
      </c>
      <c r="AI174" s="191">
        <v>1</v>
      </c>
      <c r="AJ174" s="191">
        <v>4</v>
      </c>
      <c r="AK174" s="199">
        <v>0</v>
      </c>
      <c r="AL174" s="7"/>
    </row>
    <row r="175" spans="1:38">
      <c r="A175" s="6" t="s">
        <v>22</v>
      </c>
      <c r="B175" s="6"/>
      <c r="C175" s="6"/>
      <c r="D175" s="6"/>
      <c r="E175" s="6"/>
      <c r="F175" s="9">
        <v>11844</v>
      </c>
      <c r="G175" s="9">
        <v>11119</v>
      </c>
      <c r="H175" s="9">
        <v>10365</v>
      </c>
      <c r="I175" s="9">
        <v>10616</v>
      </c>
      <c r="J175" s="9">
        <v>10489</v>
      </c>
      <c r="K175" s="9">
        <v>8901</v>
      </c>
      <c r="L175" s="9">
        <v>9061</v>
      </c>
      <c r="M175" s="9">
        <v>8987</v>
      </c>
      <c r="N175" s="9">
        <v>9311</v>
      </c>
      <c r="O175" s="9">
        <v>9789</v>
      </c>
      <c r="P175" s="9">
        <v>10884</v>
      </c>
      <c r="Q175" s="9">
        <v>10589</v>
      </c>
      <c r="R175" s="9">
        <v>10532</v>
      </c>
      <c r="S175" s="9">
        <v>10544</v>
      </c>
      <c r="T175" s="9">
        <v>11104</v>
      </c>
      <c r="U175" s="9">
        <v>11021</v>
      </c>
      <c r="V175" s="9">
        <v>11323</v>
      </c>
      <c r="W175" s="15">
        <v>11261</v>
      </c>
      <c r="X175" s="15">
        <v>10997</v>
      </c>
      <c r="Y175" s="15">
        <v>10672</v>
      </c>
      <c r="Z175" s="15">
        <v>10387</v>
      </c>
      <c r="AA175" s="176">
        <v>10402.18</v>
      </c>
      <c r="AB175" s="176">
        <v>11049.32</v>
      </c>
      <c r="AC175" s="176">
        <v>10951.8</v>
      </c>
      <c r="AD175" s="176">
        <v>11068.41</v>
      </c>
      <c r="AE175" s="176">
        <v>10704.799000000001</v>
      </c>
      <c r="AF175" s="176">
        <v>10195.812</v>
      </c>
      <c r="AG175" s="176">
        <v>9711.0820000000003</v>
      </c>
      <c r="AH175" s="191">
        <v>9943.5409999999993</v>
      </c>
      <c r="AI175" s="191">
        <v>9613</v>
      </c>
      <c r="AJ175" s="191">
        <v>9496</v>
      </c>
      <c r="AK175" s="199">
        <v>9776</v>
      </c>
      <c r="AL175" s="7"/>
    </row>
    <row r="176" spans="1:38">
      <c r="A176" s="6"/>
      <c r="B176" s="6"/>
      <c r="C176" s="6"/>
      <c r="D176" s="6"/>
      <c r="E176" s="6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</row>
    <row r="177" spans="1:38">
      <c r="A177" s="7" t="s">
        <v>19</v>
      </c>
      <c r="B177" s="7"/>
      <c r="C177" s="7"/>
      <c r="D177" s="7"/>
      <c r="E177" s="7"/>
      <c r="F177" s="7">
        <f t="shared" ref="F177:Z177" si="194">F178+F179+F181</f>
        <v>163127</v>
      </c>
      <c r="G177" s="7">
        <f t="shared" si="194"/>
        <v>158842</v>
      </c>
      <c r="H177" s="7">
        <f t="shared" si="194"/>
        <v>156874</v>
      </c>
      <c r="I177" s="7">
        <f t="shared" si="194"/>
        <v>155879</v>
      </c>
      <c r="J177" s="7">
        <f t="shared" si="194"/>
        <v>163913</v>
      </c>
      <c r="K177" s="7">
        <f t="shared" si="194"/>
        <v>161755</v>
      </c>
      <c r="L177" s="7">
        <f t="shared" si="194"/>
        <v>162636</v>
      </c>
      <c r="M177" s="7">
        <f t="shared" si="194"/>
        <v>171375</v>
      </c>
      <c r="N177" s="7">
        <f t="shared" si="194"/>
        <v>180752</v>
      </c>
      <c r="O177" s="7">
        <f t="shared" si="194"/>
        <v>176402</v>
      </c>
      <c r="P177" s="7">
        <f t="shared" si="194"/>
        <v>169320</v>
      </c>
      <c r="Q177" s="7">
        <f t="shared" si="194"/>
        <v>161447</v>
      </c>
      <c r="R177" s="7">
        <f t="shared" si="194"/>
        <v>157406</v>
      </c>
      <c r="S177" s="7">
        <f t="shared" si="194"/>
        <v>153222</v>
      </c>
      <c r="T177" s="7">
        <f t="shared" si="194"/>
        <v>158858</v>
      </c>
      <c r="U177" s="7">
        <f t="shared" si="194"/>
        <v>166350</v>
      </c>
      <c r="V177" s="7">
        <f t="shared" si="194"/>
        <v>170387</v>
      </c>
      <c r="W177" s="7">
        <f t="shared" si="194"/>
        <v>172534</v>
      </c>
      <c r="X177" s="7">
        <f t="shared" si="194"/>
        <v>177979</v>
      </c>
      <c r="Y177" s="7">
        <f t="shared" si="194"/>
        <v>181681</v>
      </c>
      <c r="Z177" s="7">
        <f t="shared" si="194"/>
        <v>195928</v>
      </c>
      <c r="AA177" s="7">
        <f>AA178+AA179+AA181+AA180</f>
        <v>206704.29</v>
      </c>
      <c r="AB177" s="7">
        <f>AB178+AB179+AB181+AB180</f>
        <v>208424.81</v>
      </c>
      <c r="AC177" s="7">
        <f>AC178+AC179+AC181+AC180</f>
        <v>210205.87</v>
      </c>
      <c r="AD177" s="7">
        <f>AD178+AD179+AD181+AD180</f>
        <v>199339.99</v>
      </c>
      <c r="AE177" s="7">
        <f t="shared" ref="AE177:AF177" si="195">AE178+AE179+AE181+AE180</f>
        <v>195819.984</v>
      </c>
      <c r="AF177" s="7">
        <f t="shared" si="195"/>
        <v>183737.94399999999</v>
      </c>
      <c r="AG177" s="7">
        <f>AG178+AG179+AG181+AG180</f>
        <v>175218.122</v>
      </c>
      <c r="AH177" s="7">
        <f>AH178+AH179+AH181+AH180</f>
        <v>164998.10700000002</v>
      </c>
      <c r="AI177" s="7">
        <f>AI178+AI179+AI181+AI180</f>
        <v>163730.47</v>
      </c>
      <c r="AJ177" s="7">
        <f>AJ178+AJ179+AJ181+AJ180</f>
        <v>164436</v>
      </c>
      <c r="AK177" s="198">
        <f>AK178+AK179+AK181+AK180</f>
        <v>168348</v>
      </c>
      <c r="AL177" s="7"/>
    </row>
    <row r="178" spans="1:38">
      <c r="A178" s="6" t="s">
        <v>1</v>
      </c>
      <c r="B178" s="6"/>
      <c r="C178" s="6"/>
      <c r="D178" s="6"/>
      <c r="E178" s="6"/>
      <c r="F178" s="9">
        <v>107362</v>
      </c>
      <c r="G178" s="9">
        <f>105431+206</f>
        <v>105637</v>
      </c>
      <c r="H178" s="9">
        <f>103955+240</f>
        <v>104195</v>
      </c>
      <c r="I178" s="9">
        <f>104119+174</f>
        <v>104293</v>
      </c>
      <c r="J178" s="9">
        <v>112768</v>
      </c>
      <c r="K178" s="9">
        <v>109877</v>
      </c>
      <c r="L178" s="9">
        <v>111754</v>
      </c>
      <c r="M178" s="9">
        <v>119080</v>
      </c>
      <c r="N178" s="9">
        <v>126515</v>
      </c>
      <c r="O178" s="9">
        <v>121022</v>
      </c>
      <c r="P178" s="9">
        <v>110313</v>
      </c>
      <c r="Q178" s="9">
        <v>104488</v>
      </c>
      <c r="R178" s="9">
        <v>101142</v>
      </c>
      <c r="S178" s="9">
        <v>99501</v>
      </c>
      <c r="T178" s="9">
        <v>104051</v>
      </c>
      <c r="U178" s="9">
        <v>110631</v>
      </c>
      <c r="V178" s="9">
        <v>112961</v>
      </c>
      <c r="W178" s="14">
        <v>113317</v>
      </c>
      <c r="X178" s="14">
        <v>116542</v>
      </c>
      <c r="Y178" s="14">
        <v>120303</v>
      </c>
      <c r="Z178" s="14">
        <v>132866</v>
      </c>
      <c r="AA178" s="175">
        <v>138526.82</v>
      </c>
      <c r="AB178" s="175">
        <v>138531.88</v>
      </c>
      <c r="AC178" s="175">
        <v>137464.46</v>
      </c>
      <c r="AD178" s="175">
        <v>127615.63</v>
      </c>
      <c r="AE178" s="175">
        <v>125890.974</v>
      </c>
      <c r="AF178" s="175">
        <v>115342.64599999999</v>
      </c>
      <c r="AG178" s="175">
        <v>108667.76300000001</v>
      </c>
      <c r="AH178" s="191">
        <v>101110.83900000001</v>
      </c>
      <c r="AI178" s="191">
        <f>372+101929.11</f>
        <v>102301.11</v>
      </c>
      <c r="AJ178" s="191">
        <v>101065</v>
      </c>
      <c r="AK178" s="199">
        <v>104172</v>
      </c>
      <c r="AL178" s="191"/>
    </row>
    <row r="179" spans="1:38">
      <c r="A179" s="6" t="s">
        <v>2</v>
      </c>
      <c r="B179" s="6"/>
      <c r="C179" s="6"/>
      <c r="D179" s="6"/>
      <c r="E179" s="6"/>
      <c r="F179" s="9">
        <v>44970</v>
      </c>
      <c r="G179" s="9">
        <f>41249+1631</f>
        <v>42880</v>
      </c>
      <c r="H179" s="9">
        <f>40944+1652</f>
        <v>42596</v>
      </c>
      <c r="I179" s="9">
        <f>39809+1421</f>
        <v>41230</v>
      </c>
      <c r="J179" s="9">
        <v>42009</v>
      </c>
      <c r="K179" s="9">
        <v>42913</v>
      </c>
      <c r="L179" s="9">
        <v>42282</v>
      </c>
      <c r="M179" s="9">
        <v>43434</v>
      </c>
      <c r="N179" s="9">
        <v>45419</v>
      </c>
      <c r="O179" s="9">
        <v>45734</v>
      </c>
      <c r="P179" s="9">
        <v>48545</v>
      </c>
      <c r="Q179" s="9">
        <v>46632</v>
      </c>
      <c r="R179" s="9">
        <v>46113</v>
      </c>
      <c r="S179" s="9">
        <v>43138</v>
      </c>
      <c r="T179" s="9">
        <v>44178</v>
      </c>
      <c r="U179" s="9">
        <v>45366</v>
      </c>
      <c r="V179" s="9">
        <v>46986</v>
      </c>
      <c r="W179" s="15">
        <v>48763</v>
      </c>
      <c r="X179" s="15">
        <v>51427</v>
      </c>
      <c r="Y179" s="15">
        <v>51801</v>
      </c>
      <c r="Z179" s="15">
        <v>53275</v>
      </c>
      <c r="AA179" s="176">
        <v>58015.46</v>
      </c>
      <c r="AB179" s="176">
        <v>59706.13</v>
      </c>
      <c r="AC179" s="176">
        <v>62591.62</v>
      </c>
      <c r="AD179" s="176">
        <v>61483.92</v>
      </c>
      <c r="AE179" s="176">
        <v>60429.317000000003</v>
      </c>
      <c r="AF179" s="176">
        <v>59060.705000000002</v>
      </c>
      <c r="AG179" s="176">
        <v>56884.88</v>
      </c>
      <c r="AH179" s="191">
        <v>53879.811999999998</v>
      </c>
      <c r="AI179" s="191">
        <v>52284.28</v>
      </c>
      <c r="AJ179" s="191">
        <v>54102</v>
      </c>
      <c r="AK179" s="199">
        <v>54861</v>
      </c>
      <c r="AL179" s="191"/>
    </row>
    <row r="180" spans="1:38">
      <c r="A180" s="6" t="s">
        <v>11</v>
      </c>
      <c r="B180" s="6"/>
      <c r="C180" s="6"/>
      <c r="D180" s="6"/>
      <c r="E180" s="6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15"/>
      <c r="X180" s="15"/>
      <c r="Y180" s="15"/>
      <c r="Z180" s="15"/>
      <c r="AA180" s="176">
        <v>0.67</v>
      </c>
      <c r="AB180" s="176">
        <v>6.19</v>
      </c>
      <c r="AC180" s="176">
        <v>0</v>
      </c>
      <c r="AD180" s="176">
        <v>0.5</v>
      </c>
      <c r="AE180" s="176">
        <v>2</v>
      </c>
      <c r="AF180" s="176">
        <v>9</v>
      </c>
      <c r="AG180" s="176">
        <v>0</v>
      </c>
      <c r="AH180" s="191">
        <v>5.5</v>
      </c>
      <c r="AI180" s="191">
        <v>0</v>
      </c>
      <c r="AJ180" s="191">
        <v>0</v>
      </c>
      <c r="AK180" s="199">
        <v>0</v>
      </c>
      <c r="AL180" s="191"/>
    </row>
    <row r="181" spans="1:38">
      <c r="A181" s="6" t="s">
        <v>22</v>
      </c>
      <c r="B181" s="6"/>
      <c r="C181" s="6"/>
      <c r="D181" s="6"/>
      <c r="E181" s="6"/>
      <c r="F181" s="9">
        <v>10795</v>
      </c>
      <c r="G181" s="9">
        <v>10325</v>
      </c>
      <c r="H181" s="9">
        <v>10083</v>
      </c>
      <c r="I181" s="9">
        <v>10356</v>
      </c>
      <c r="J181" s="9">
        <v>9136</v>
      </c>
      <c r="K181" s="9">
        <v>8965</v>
      </c>
      <c r="L181" s="9">
        <v>8600</v>
      </c>
      <c r="M181" s="9">
        <v>8861</v>
      </c>
      <c r="N181" s="9">
        <v>8818</v>
      </c>
      <c r="O181" s="9">
        <v>9646</v>
      </c>
      <c r="P181" s="9">
        <v>10462</v>
      </c>
      <c r="Q181" s="9">
        <v>10327</v>
      </c>
      <c r="R181" s="9">
        <v>10151</v>
      </c>
      <c r="S181" s="9">
        <v>10583</v>
      </c>
      <c r="T181" s="9">
        <v>10629</v>
      </c>
      <c r="U181" s="9">
        <v>10353</v>
      </c>
      <c r="V181" s="9">
        <v>10440</v>
      </c>
      <c r="W181" s="15">
        <v>10454</v>
      </c>
      <c r="X181" s="15">
        <v>10010</v>
      </c>
      <c r="Y181" s="15">
        <v>9577</v>
      </c>
      <c r="Z181" s="15">
        <v>9787</v>
      </c>
      <c r="AA181" s="176">
        <v>10161.34</v>
      </c>
      <c r="AB181" s="176">
        <v>10180.61</v>
      </c>
      <c r="AC181" s="176">
        <v>10149.790000000001</v>
      </c>
      <c r="AD181" s="176">
        <v>10239.94</v>
      </c>
      <c r="AE181" s="176">
        <v>9497.6929999999993</v>
      </c>
      <c r="AF181" s="176">
        <v>9325.5930000000008</v>
      </c>
      <c r="AG181" s="176">
        <v>9665.4789999999994</v>
      </c>
      <c r="AH181" s="191">
        <v>10001.956</v>
      </c>
      <c r="AI181" s="191">
        <f>4674.62+4470.46</f>
        <v>9145.08</v>
      </c>
      <c r="AJ181" s="191">
        <v>9269</v>
      </c>
      <c r="AK181" s="199">
        <v>9315</v>
      </c>
      <c r="AL181" s="191"/>
    </row>
    <row r="182" spans="1:38">
      <c r="A182" s="6"/>
      <c r="B182" s="6"/>
      <c r="C182" s="6"/>
      <c r="D182" s="6"/>
      <c r="E182" s="6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</row>
    <row r="183" spans="1:38">
      <c r="A183" s="7" t="s">
        <v>20</v>
      </c>
      <c r="B183" s="7"/>
      <c r="C183" s="7"/>
      <c r="D183" s="7"/>
      <c r="E183" s="7"/>
      <c r="F183" s="7">
        <f t="shared" ref="F183:AG183" si="196">F165+F171+F177</f>
        <v>369561</v>
      </c>
      <c r="G183" s="7">
        <f t="shared" si="196"/>
        <v>360438</v>
      </c>
      <c r="H183" s="7">
        <f t="shared" si="196"/>
        <v>356915</v>
      </c>
      <c r="I183" s="7">
        <f t="shared" si="196"/>
        <v>356144</v>
      </c>
      <c r="J183" s="7">
        <f t="shared" si="196"/>
        <v>367256</v>
      </c>
      <c r="K183" s="7">
        <f t="shared" si="196"/>
        <v>364357</v>
      </c>
      <c r="L183" s="7">
        <f t="shared" si="196"/>
        <v>367216</v>
      </c>
      <c r="M183" s="7">
        <f t="shared" si="196"/>
        <v>381635</v>
      </c>
      <c r="N183" s="7">
        <f t="shared" si="196"/>
        <v>401127</v>
      </c>
      <c r="O183" s="7">
        <f t="shared" si="196"/>
        <v>398344</v>
      </c>
      <c r="P183" s="7">
        <f t="shared" si="196"/>
        <v>385309</v>
      </c>
      <c r="Q183" s="7">
        <f t="shared" si="196"/>
        <v>369846</v>
      </c>
      <c r="R183" s="7">
        <f t="shared" si="196"/>
        <v>358277</v>
      </c>
      <c r="S183" s="7">
        <f t="shared" si="196"/>
        <v>349422</v>
      </c>
      <c r="T183" s="7">
        <f t="shared" si="196"/>
        <v>358533</v>
      </c>
      <c r="U183" s="7">
        <f t="shared" si="196"/>
        <v>373237</v>
      </c>
      <c r="V183" s="7">
        <f t="shared" si="196"/>
        <v>380989</v>
      </c>
      <c r="W183" s="7">
        <f t="shared" si="196"/>
        <v>387083</v>
      </c>
      <c r="X183" s="7">
        <f t="shared" si="196"/>
        <v>402525</v>
      </c>
      <c r="Y183" s="7">
        <f t="shared" si="196"/>
        <v>409196</v>
      </c>
      <c r="Z183" s="7">
        <f t="shared" si="196"/>
        <v>438019</v>
      </c>
      <c r="AA183" s="7">
        <f t="shared" si="196"/>
        <v>459178.48</v>
      </c>
      <c r="AB183" s="7">
        <f t="shared" si="196"/>
        <v>468587.02</v>
      </c>
      <c r="AC183" s="7">
        <f t="shared" si="196"/>
        <v>475623.36</v>
      </c>
      <c r="AD183" s="7">
        <f t="shared" si="196"/>
        <v>456201.88</v>
      </c>
      <c r="AE183" s="7">
        <f t="shared" ref="AE183:AF183" si="197">AE165+AE171+AE177</f>
        <v>440642.61300000001</v>
      </c>
      <c r="AF183" s="7">
        <f t="shared" si="197"/>
        <v>414813.01199999999</v>
      </c>
      <c r="AG183" s="7">
        <f t="shared" si="196"/>
        <v>392574.70499999996</v>
      </c>
      <c r="AH183" s="7">
        <f t="shared" ref="AH183:AK183" si="198">AH165+AH171+AH177</f>
        <v>368103.13300000003</v>
      </c>
      <c r="AI183" s="7">
        <f t="shared" ref="AI183:AJ183" si="199">AI165+AI171+AI177</f>
        <v>364506.47</v>
      </c>
      <c r="AJ183" s="7">
        <f t="shared" si="199"/>
        <v>362923</v>
      </c>
      <c r="AK183" s="7">
        <f t="shared" si="198"/>
        <v>363315</v>
      </c>
      <c r="AL183" s="7"/>
    </row>
    <row r="184" spans="1:38">
      <c r="A184" s="8" t="s">
        <v>1</v>
      </c>
      <c r="B184" s="8"/>
      <c r="C184" s="7"/>
      <c r="D184" s="7"/>
      <c r="E184" s="7"/>
      <c r="F184" s="7">
        <f t="shared" ref="F184:AG184" si="200">F166+F172+F178</f>
        <v>246839</v>
      </c>
      <c r="G184" s="7">
        <f t="shared" si="200"/>
        <v>242135</v>
      </c>
      <c r="H184" s="7">
        <f t="shared" si="200"/>
        <v>241008</v>
      </c>
      <c r="I184" s="7">
        <f t="shared" si="200"/>
        <v>241135</v>
      </c>
      <c r="J184" s="7">
        <f t="shared" si="200"/>
        <v>253955</v>
      </c>
      <c r="K184" s="7">
        <f t="shared" si="200"/>
        <v>252157</v>
      </c>
      <c r="L184" s="7">
        <f t="shared" si="200"/>
        <v>256596</v>
      </c>
      <c r="M184" s="7">
        <f t="shared" si="200"/>
        <v>268303</v>
      </c>
      <c r="N184" s="7">
        <f t="shared" si="200"/>
        <v>283075</v>
      </c>
      <c r="O184" s="7">
        <f t="shared" si="200"/>
        <v>277193</v>
      </c>
      <c r="P184" s="7">
        <f t="shared" si="200"/>
        <v>257430</v>
      </c>
      <c r="Q184" s="7">
        <f t="shared" si="200"/>
        <v>244430</v>
      </c>
      <c r="R184" s="7">
        <f t="shared" si="200"/>
        <v>234493</v>
      </c>
      <c r="S184" s="7">
        <f t="shared" si="200"/>
        <v>231746</v>
      </c>
      <c r="T184" s="7">
        <f t="shared" si="200"/>
        <v>239571</v>
      </c>
      <c r="U184" s="7">
        <f t="shared" si="200"/>
        <v>253458</v>
      </c>
      <c r="V184" s="7">
        <f t="shared" si="200"/>
        <v>257107</v>
      </c>
      <c r="W184" s="7">
        <f t="shared" si="200"/>
        <v>258204</v>
      </c>
      <c r="X184" s="7">
        <f t="shared" si="200"/>
        <v>270391</v>
      </c>
      <c r="Y184" s="7">
        <f t="shared" si="200"/>
        <v>276551</v>
      </c>
      <c r="Z184" s="7">
        <f t="shared" si="200"/>
        <v>302558</v>
      </c>
      <c r="AA184" s="7">
        <f t="shared" si="200"/>
        <v>318665.49</v>
      </c>
      <c r="AB184" s="7">
        <f t="shared" si="200"/>
        <v>320373.12</v>
      </c>
      <c r="AC184" s="7">
        <f t="shared" si="200"/>
        <v>321941.37</v>
      </c>
      <c r="AD184" s="7">
        <f t="shared" si="200"/>
        <v>303622.28000000003</v>
      </c>
      <c r="AE184" s="7">
        <f t="shared" ref="AE184:AF184" si="201">AE166+AE172+AE178</f>
        <v>293361.64899999998</v>
      </c>
      <c r="AF184" s="7">
        <f t="shared" si="201"/>
        <v>270908.00900000002</v>
      </c>
      <c r="AG184" s="7">
        <f t="shared" si="200"/>
        <v>252365.747</v>
      </c>
      <c r="AH184" s="7">
        <f t="shared" ref="AH184:AK184" si="202">AH166+AH172+AH178</f>
        <v>234665.41099999999</v>
      </c>
      <c r="AI184" s="7">
        <f t="shared" ref="AI184:AJ184" si="203">AI166+AI172+AI178</f>
        <v>237505.11</v>
      </c>
      <c r="AJ184" s="7">
        <f t="shared" si="203"/>
        <v>235573</v>
      </c>
      <c r="AK184" s="7">
        <f t="shared" si="202"/>
        <v>234734</v>
      </c>
      <c r="AL184" s="7"/>
    </row>
    <row r="185" spans="1:38">
      <c r="A185" s="8" t="s">
        <v>2</v>
      </c>
      <c r="B185" s="8"/>
      <c r="C185" s="7"/>
      <c r="D185" s="7"/>
      <c r="E185" s="7"/>
      <c r="F185" s="7">
        <f t="shared" ref="F185:AG185" si="204">F167+F173+F179</f>
        <v>96351</v>
      </c>
      <c r="G185" s="7">
        <f t="shared" si="204"/>
        <v>93345</v>
      </c>
      <c r="H185" s="7">
        <f t="shared" si="204"/>
        <v>92053</v>
      </c>
      <c r="I185" s="7">
        <f t="shared" si="204"/>
        <v>90459</v>
      </c>
      <c r="J185" s="7">
        <f t="shared" si="204"/>
        <v>90092</v>
      </c>
      <c r="K185" s="7">
        <f t="shared" si="204"/>
        <v>91470</v>
      </c>
      <c r="L185" s="7">
        <f t="shared" si="204"/>
        <v>90243</v>
      </c>
      <c r="M185" s="7">
        <f t="shared" si="204"/>
        <v>92584</v>
      </c>
      <c r="N185" s="7">
        <f t="shared" si="204"/>
        <v>96877</v>
      </c>
      <c r="O185" s="7">
        <f t="shared" si="204"/>
        <v>98970</v>
      </c>
      <c r="P185" s="7">
        <f t="shared" si="204"/>
        <v>103563</v>
      </c>
      <c r="Q185" s="7">
        <f t="shared" si="204"/>
        <v>101256</v>
      </c>
      <c r="R185" s="7">
        <f t="shared" si="204"/>
        <v>100047</v>
      </c>
      <c r="S185" s="7">
        <f t="shared" si="204"/>
        <v>93236</v>
      </c>
      <c r="T185" s="7">
        <f t="shared" si="204"/>
        <v>93995</v>
      </c>
      <c r="U185" s="7">
        <f t="shared" si="204"/>
        <v>94851</v>
      </c>
      <c r="V185" s="7">
        <f t="shared" si="204"/>
        <v>98461</v>
      </c>
      <c r="W185" s="7">
        <f t="shared" si="204"/>
        <v>103762</v>
      </c>
      <c r="X185" s="7">
        <f t="shared" si="204"/>
        <v>109405</v>
      </c>
      <c r="Y185" s="7">
        <f t="shared" si="204"/>
        <v>110489</v>
      </c>
      <c r="Z185" s="7">
        <f t="shared" si="204"/>
        <v>113461</v>
      </c>
      <c r="AA185" s="7">
        <f t="shared" si="204"/>
        <v>118477.04000000001</v>
      </c>
      <c r="AB185" s="7">
        <f t="shared" si="204"/>
        <v>125280.57</v>
      </c>
      <c r="AC185" s="7">
        <f t="shared" si="204"/>
        <v>131009.32</v>
      </c>
      <c r="AD185" s="7">
        <f t="shared" si="204"/>
        <v>130374.25</v>
      </c>
      <c r="AE185" s="7">
        <f t="shared" ref="AE185:AF185" si="205">AE167+AE173+AE179</f>
        <v>126193.47399999999</v>
      </c>
      <c r="AF185" s="7">
        <f t="shared" si="205"/>
        <v>123246.93100000001</v>
      </c>
      <c r="AG185" s="7">
        <f t="shared" si="204"/>
        <v>119951.416</v>
      </c>
      <c r="AH185" s="7">
        <f t="shared" ref="AH185:AK185" si="206">AH167+AH173+AH179</f>
        <v>112583.40599999999</v>
      </c>
      <c r="AI185" s="7">
        <f t="shared" ref="AI185:AJ185" si="207">AI167+AI173+AI179</f>
        <v>107304.28</v>
      </c>
      <c r="AJ185" s="7">
        <f t="shared" si="207"/>
        <v>107958</v>
      </c>
      <c r="AK185" s="7">
        <f t="shared" si="206"/>
        <v>108781</v>
      </c>
      <c r="AL185" s="7"/>
    </row>
    <row r="186" spans="1:38">
      <c r="A186" s="6" t="s">
        <v>11</v>
      </c>
      <c r="B186" s="6"/>
      <c r="C186" s="6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>
        <f t="shared" ref="AA186:AG187" si="208">AA168+AA174+AA180</f>
        <v>2.6799999999999997</v>
      </c>
      <c r="AB186" s="7">
        <f t="shared" si="208"/>
        <v>23.040000000000003</v>
      </c>
      <c r="AC186" s="7">
        <f t="shared" si="208"/>
        <v>4.68</v>
      </c>
      <c r="AD186" s="7">
        <f t="shared" si="208"/>
        <v>24</v>
      </c>
      <c r="AE186" s="7">
        <f t="shared" ref="AE186:AF186" si="209">AE168+AE174+AE180</f>
        <v>4.5</v>
      </c>
      <c r="AF186" s="7">
        <f t="shared" si="209"/>
        <v>19</v>
      </c>
      <c r="AG186" s="7">
        <f t="shared" si="208"/>
        <v>0</v>
      </c>
      <c r="AH186" s="7">
        <f t="shared" ref="AH186:AK186" si="210">AH168+AH174+AH180</f>
        <v>19</v>
      </c>
      <c r="AI186" s="7">
        <f t="shared" ref="AI186:AJ186" si="211">AI168+AI174+AI180</f>
        <v>1</v>
      </c>
      <c r="AJ186" s="7">
        <f t="shared" si="211"/>
        <v>4</v>
      </c>
      <c r="AK186" s="7">
        <f t="shared" si="210"/>
        <v>0</v>
      </c>
      <c r="AL186" s="7"/>
    </row>
    <row r="187" spans="1:38">
      <c r="A187" s="8" t="s">
        <v>22</v>
      </c>
      <c r="B187" s="8"/>
      <c r="C187" s="7"/>
      <c r="D187" s="7"/>
      <c r="E187" s="7"/>
      <c r="F187" s="7">
        <f t="shared" ref="F187:Z187" si="212">F169+F175+F181</f>
        <v>26371</v>
      </c>
      <c r="G187" s="7">
        <f t="shared" si="212"/>
        <v>24958</v>
      </c>
      <c r="H187" s="7">
        <f t="shared" si="212"/>
        <v>23854</v>
      </c>
      <c r="I187" s="7">
        <f t="shared" si="212"/>
        <v>24550</v>
      </c>
      <c r="J187" s="7">
        <f t="shared" si="212"/>
        <v>23209</v>
      </c>
      <c r="K187" s="7">
        <f t="shared" si="212"/>
        <v>20730</v>
      </c>
      <c r="L187" s="7">
        <f t="shared" si="212"/>
        <v>20377</v>
      </c>
      <c r="M187" s="7">
        <f t="shared" si="212"/>
        <v>20748</v>
      </c>
      <c r="N187" s="7">
        <f t="shared" si="212"/>
        <v>21175</v>
      </c>
      <c r="O187" s="7">
        <f t="shared" si="212"/>
        <v>22181</v>
      </c>
      <c r="P187" s="7">
        <f t="shared" si="212"/>
        <v>24316</v>
      </c>
      <c r="Q187" s="7">
        <f t="shared" si="212"/>
        <v>24160</v>
      </c>
      <c r="R187" s="7">
        <f t="shared" si="212"/>
        <v>23737</v>
      </c>
      <c r="S187" s="7">
        <f t="shared" si="212"/>
        <v>24440</v>
      </c>
      <c r="T187" s="7">
        <f t="shared" si="212"/>
        <v>24967</v>
      </c>
      <c r="U187" s="7">
        <f t="shared" si="212"/>
        <v>24928</v>
      </c>
      <c r="V187" s="7">
        <f t="shared" si="212"/>
        <v>25421</v>
      </c>
      <c r="W187" s="7">
        <f t="shared" si="212"/>
        <v>25117</v>
      </c>
      <c r="X187" s="7">
        <f t="shared" si="212"/>
        <v>22729</v>
      </c>
      <c r="Y187" s="7">
        <f t="shared" si="212"/>
        <v>22156</v>
      </c>
      <c r="Z187" s="7">
        <f t="shared" si="212"/>
        <v>22000</v>
      </c>
      <c r="AA187" s="7">
        <f t="shared" si="208"/>
        <v>22033.27</v>
      </c>
      <c r="AB187" s="7">
        <f t="shared" si="208"/>
        <v>22910.29</v>
      </c>
      <c r="AC187" s="7">
        <f t="shared" si="208"/>
        <v>22667.989999999998</v>
      </c>
      <c r="AD187" s="7">
        <f t="shared" si="208"/>
        <v>22181.35</v>
      </c>
      <c r="AE187" s="7">
        <f t="shared" ref="AE187:AF187" si="213">AE169+AE175+AE181</f>
        <v>21082.989999999998</v>
      </c>
      <c r="AF187" s="7">
        <f t="shared" si="213"/>
        <v>20639.072</v>
      </c>
      <c r="AG187" s="7">
        <f t="shared" si="208"/>
        <v>20257.542000000001</v>
      </c>
      <c r="AH187" s="7">
        <f t="shared" ref="AH187:AK187" si="214">AH169+AH175+AH181</f>
        <v>20835.315999999999</v>
      </c>
      <c r="AI187" s="7">
        <f t="shared" ref="AI187:AJ187" si="215">AI169+AI175+AI181</f>
        <v>19696.080000000002</v>
      </c>
      <c r="AJ187" s="7">
        <f t="shared" si="215"/>
        <v>19388</v>
      </c>
      <c r="AK187" s="7">
        <f t="shared" si="214"/>
        <v>19800</v>
      </c>
      <c r="AL187" s="7"/>
    </row>
    <row r="188" spans="1:38">
      <c r="A188" s="6"/>
      <c r="B188" s="6"/>
      <c r="C188" s="6"/>
      <c r="D188" s="6"/>
      <c r="E188" s="6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</row>
    <row r="189" spans="1:38" ht="13.5" thickBot="1">
      <c r="A189" s="25" t="s">
        <v>12</v>
      </c>
      <c r="B189" s="25"/>
      <c r="C189" s="25"/>
      <c r="D189" s="26"/>
      <c r="E189" s="26"/>
      <c r="F189" s="26" t="s">
        <v>13</v>
      </c>
      <c r="G189" s="26" t="s">
        <v>14</v>
      </c>
      <c r="H189" s="26" t="s">
        <v>15</v>
      </c>
      <c r="I189" s="26" t="s">
        <v>16</v>
      </c>
      <c r="J189" s="26" t="s">
        <v>21</v>
      </c>
      <c r="K189" s="26" t="s">
        <v>23</v>
      </c>
      <c r="L189" s="26" t="s">
        <v>24</v>
      </c>
      <c r="M189" s="26" t="s">
        <v>38</v>
      </c>
      <c r="N189" s="26" t="s">
        <v>44</v>
      </c>
      <c r="O189" s="26" t="s">
        <v>45</v>
      </c>
      <c r="P189" s="26" t="s">
        <v>46</v>
      </c>
      <c r="Q189" s="26" t="s">
        <v>50</v>
      </c>
      <c r="R189" s="27" t="s">
        <v>53</v>
      </c>
      <c r="S189" s="27" t="s">
        <v>55</v>
      </c>
      <c r="T189" s="27" t="s">
        <v>58</v>
      </c>
      <c r="U189" s="27" t="s">
        <v>60</v>
      </c>
      <c r="V189" s="27" t="s">
        <v>63</v>
      </c>
      <c r="W189" s="27" t="s">
        <v>65</v>
      </c>
      <c r="X189" s="27" t="s">
        <v>67</v>
      </c>
      <c r="Y189" s="27" t="s">
        <v>69</v>
      </c>
      <c r="Z189" s="27" t="s">
        <v>71</v>
      </c>
      <c r="AA189" s="27" t="s">
        <v>76</v>
      </c>
      <c r="AB189" s="27" t="s">
        <v>79</v>
      </c>
      <c r="AC189" s="27" t="s">
        <v>107</v>
      </c>
      <c r="AD189" s="27" t="s">
        <v>111</v>
      </c>
      <c r="AE189" s="27" t="s">
        <v>114</v>
      </c>
      <c r="AF189" s="27" t="s">
        <v>136</v>
      </c>
      <c r="AG189" s="27" t="s">
        <v>137</v>
      </c>
      <c r="AH189" s="190" t="s">
        <v>145</v>
      </c>
      <c r="AI189" s="190" t="s">
        <v>148</v>
      </c>
      <c r="AJ189" s="190" t="s">
        <v>150</v>
      </c>
      <c r="AK189" s="190" t="s">
        <v>151</v>
      </c>
      <c r="AL189" s="190"/>
    </row>
    <row r="190" spans="1:38">
      <c r="A190" s="16" t="s">
        <v>10</v>
      </c>
      <c r="B190" s="7"/>
      <c r="C190" s="7"/>
      <c r="D190" s="7"/>
      <c r="E190" s="7"/>
      <c r="F190" s="7">
        <f t="shared" ref="F190:AG190" si="216">F191+F197+F203</f>
        <v>16977</v>
      </c>
      <c r="G190" s="7">
        <f t="shared" si="216"/>
        <v>17856</v>
      </c>
      <c r="H190" s="7">
        <f t="shared" si="216"/>
        <v>18325</v>
      </c>
      <c r="I190" s="7">
        <f t="shared" si="216"/>
        <v>18008</v>
      </c>
      <c r="J190" s="7">
        <f t="shared" si="216"/>
        <v>18739</v>
      </c>
      <c r="K190" s="7">
        <f t="shared" si="216"/>
        <v>17764</v>
      </c>
      <c r="L190" s="7">
        <f t="shared" si="216"/>
        <v>17718</v>
      </c>
      <c r="M190" s="7">
        <f t="shared" si="216"/>
        <v>17608</v>
      </c>
      <c r="N190" s="7">
        <f t="shared" si="216"/>
        <v>18529</v>
      </c>
      <c r="O190" s="7">
        <f t="shared" si="216"/>
        <v>18090</v>
      </c>
      <c r="P190" s="7">
        <f t="shared" si="216"/>
        <v>18557</v>
      </c>
      <c r="Q190" s="7">
        <f t="shared" si="216"/>
        <v>18767</v>
      </c>
      <c r="R190" s="7">
        <f t="shared" si="216"/>
        <v>19636</v>
      </c>
      <c r="S190" s="7">
        <f t="shared" si="216"/>
        <v>20120</v>
      </c>
      <c r="T190" s="7">
        <f t="shared" si="216"/>
        <v>21690</v>
      </c>
      <c r="U190" s="7">
        <f t="shared" si="216"/>
        <v>22001</v>
      </c>
      <c r="V190" s="7">
        <f t="shared" si="216"/>
        <v>24395</v>
      </c>
      <c r="W190" s="7">
        <f t="shared" si="216"/>
        <v>25425</v>
      </c>
      <c r="X190" s="7">
        <f t="shared" si="216"/>
        <v>25675</v>
      </c>
      <c r="Y190" s="7">
        <f t="shared" si="216"/>
        <v>25946</v>
      </c>
      <c r="Z190" s="7">
        <f t="shared" si="216"/>
        <v>26789</v>
      </c>
      <c r="AA190" s="7">
        <f t="shared" si="216"/>
        <v>26961.62</v>
      </c>
      <c r="AB190" s="7">
        <f t="shared" si="216"/>
        <v>26851.25</v>
      </c>
      <c r="AC190" s="7">
        <f t="shared" si="216"/>
        <v>27088.25</v>
      </c>
      <c r="AD190" s="7">
        <f t="shared" si="216"/>
        <v>27747.32</v>
      </c>
      <c r="AE190" s="7">
        <f t="shared" ref="AE190:AF190" si="217">AE191+AE197+AE203</f>
        <v>27855.391</v>
      </c>
      <c r="AF190" s="7">
        <f t="shared" si="217"/>
        <v>27859.103999999999</v>
      </c>
      <c r="AG190" s="7">
        <f t="shared" si="216"/>
        <v>28898.228000000003</v>
      </c>
      <c r="AH190" s="7">
        <f t="shared" ref="AH190:AK190" si="218">AH191+AH197+AH203</f>
        <v>30593.146000000001</v>
      </c>
      <c r="AI190" s="7">
        <f t="shared" ref="AI190:AJ190" si="219">AI191+AI197+AI203</f>
        <v>29699.66</v>
      </c>
      <c r="AJ190" s="7">
        <f t="shared" si="219"/>
        <v>29840</v>
      </c>
      <c r="AK190" s="7">
        <f t="shared" si="218"/>
        <v>28924</v>
      </c>
      <c r="AL190" s="7"/>
    </row>
    <row r="191" spans="1:38">
      <c r="A191" s="7" t="s">
        <v>17</v>
      </c>
      <c r="B191" s="7"/>
      <c r="C191" s="7"/>
      <c r="D191" s="7"/>
      <c r="E191" s="7"/>
      <c r="F191" s="7">
        <f>SUM(F192:F195)</f>
        <v>1040</v>
      </c>
      <c r="G191" s="7">
        <f>SUM(G192:G195)</f>
        <v>1228</v>
      </c>
      <c r="H191" s="7">
        <f>SUM(H192:H195)</f>
        <v>1319</v>
      </c>
      <c r="I191" s="7">
        <f>SUM(I192:I195)</f>
        <v>1049</v>
      </c>
      <c r="J191" s="7">
        <f>SUM(J192:J195)</f>
        <v>967</v>
      </c>
      <c r="K191" s="7">
        <v>1105</v>
      </c>
      <c r="L191" s="7">
        <v>1006</v>
      </c>
      <c r="M191" s="7">
        <v>1043</v>
      </c>
      <c r="N191" s="7">
        <v>1231</v>
      </c>
      <c r="O191" s="7">
        <f t="shared" ref="O191:AG191" si="220">SUM(O192:O195)</f>
        <v>1152</v>
      </c>
      <c r="P191" s="7">
        <f t="shared" si="220"/>
        <v>1380</v>
      </c>
      <c r="Q191" s="7">
        <f t="shared" si="220"/>
        <v>1187</v>
      </c>
      <c r="R191" s="7">
        <f t="shared" si="220"/>
        <v>1241</v>
      </c>
      <c r="S191" s="7">
        <f t="shared" si="220"/>
        <v>1116</v>
      </c>
      <c r="T191" s="7">
        <f t="shared" si="220"/>
        <v>1382</v>
      </c>
      <c r="U191" s="7">
        <f t="shared" si="220"/>
        <v>1446</v>
      </c>
      <c r="V191" s="7">
        <f t="shared" si="220"/>
        <v>1579</v>
      </c>
      <c r="W191" s="7">
        <f t="shared" si="220"/>
        <v>1917</v>
      </c>
      <c r="X191" s="7">
        <f t="shared" si="220"/>
        <v>2049</v>
      </c>
      <c r="Y191" s="7">
        <f t="shared" si="220"/>
        <v>2116</v>
      </c>
      <c r="Z191" s="7">
        <f t="shared" si="220"/>
        <v>1927</v>
      </c>
      <c r="AA191" s="7">
        <f t="shared" si="220"/>
        <v>2014.3500000000001</v>
      </c>
      <c r="AB191" s="7">
        <f t="shared" si="220"/>
        <v>1745.79</v>
      </c>
      <c r="AC191" s="7">
        <f t="shared" si="220"/>
        <v>1721.45</v>
      </c>
      <c r="AD191" s="7">
        <f t="shared" si="220"/>
        <v>1727.49</v>
      </c>
      <c r="AE191" s="7">
        <f t="shared" ref="AE191:AF191" si="221">SUM(AE192:AE195)</f>
        <v>1663.325</v>
      </c>
      <c r="AF191" s="7">
        <f t="shared" si="221"/>
        <v>1540.665</v>
      </c>
      <c r="AG191" s="7">
        <f t="shared" si="220"/>
        <v>1652.221</v>
      </c>
      <c r="AH191" s="7">
        <f t="shared" ref="AH191:AK191" si="222">SUM(AH192:AH195)</f>
        <v>1596.85</v>
      </c>
      <c r="AI191" s="7">
        <f t="shared" ref="AI191:AJ191" si="223">SUM(AI192:AI195)</f>
        <v>1723</v>
      </c>
      <c r="AJ191" s="7">
        <f t="shared" si="223"/>
        <v>1506</v>
      </c>
      <c r="AK191" s="7">
        <f t="shared" si="222"/>
        <v>1554</v>
      </c>
      <c r="AL191" s="7"/>
    </row>
    <row r="192" spans="1:38">
      <c r="A192" s="6" t="s">
        <v>1</v>
      </c>
      <c r="B192" s="6"/>
      <c r="C192" s="6"/>
      <c r="D192" s="6"/>
      <c r="E192" s="6"/>
      <c r="F192" s="10"/>
      <c r="G192" s="10"/>
      <c r="H192" s="10"/>
      <c r="I192" s="10"/>
      <c r="J192" s="10"/>
      <c r="K192" s="9">
        <v>0</v>
      </c>
      <c r="L192" s="9">
        <v>0</v>
      </c>
      <c r="M192" s="9">
        <v>0</v>
      </c>
      <c r="N192" s="9">
        <v>0</v>
      </c>
      <c r="O192" s="10">
        <v>0</v>
      </c>
      <c r="P192" s="10">
        <v>0</v>
      </c>
      <c r="Q192" s="10">
        <v>0</v>
      </c>
      <c r="R192" s="10"/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175">
        <v>0</v>
      </c>
      <c r="AB192" s="175">
        <v>0</v>
      </c>
      <c r="AC192" s="175">
        <v>0</v>
      </c>
      <c r="AD192" s="175">
        <v>0</v>
      </c>
      <c r="AE192" s="175">
        <v>0</v>
      </c>
      <c r="AF192" s="175">
        <v>0</v>
      </c>
      <c r="AG192" s="175">
        <v>0</v>
      </c>
      <c r="AH192" s="191">
        <v>0</v>
      </c>
      <c r="AI192" s="191">
        <v>0</v>
      </c>
      <c r="AJ192" s="191">
        <v>0</v>
      </c>
      <c r="AK192" s="191">
        <v>0</v>
      </c>
      <c r="AL192" s="191"/>
    </row>
    <row r="193" spans="1:38">
      <c r="A193" s="6" t="s">
        <v>2</v>
      </c>
      <c r="B193" s="6"/>
      <c r="C193" s="6"/>
      <c r="D193" s="6"/>
      <c r="E193" s="6"/>
      <c r="F193" s="10"/>
      <c r="G193" s="10"/>
      <c r="H193" s="10"/>
      <c r="I193" s="10"/>
      <c r="J193" s="10"/>
      <c r="K193" s="9">
        <v>9</v>
      </c>
      <c r="L193" s="9">
        <v>0</v>
      </c>
      <c r="M193" s="9">
        <v>0</v>
      </c>
      <c r="N193" s="9">
        <v>4</v>
      </c>
      <c r="O193" s="10">
        <v>0</v>
      </c>
      <c r="P193" s="10">
        <v>0</v>
      </c>
      <c r="Q193" s="10">
        <v>0</v>
      </c>
      <c r="R193" s="10"/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176">
        <v>0.2</v>
      </c>
      <c r="AB193" s="176">
        <v>0</v>
      </c>
      <c r="AC193" s="176">
        <v>0</v>
      </c>
      <c r="AD193" s="176">
        <v>0.4</v>
      </c>
      <c r="AE193" s="176">
        <v>0</v>
      </c>
      <c r="AF193" s="176">
        <v>0</v>
      </c>
      <c r="AG193" s="176">
        <v>0</v>
      </c>
      <c r="AH193" s="191">
        <v>7.25</v>
      </c>
      <c r="AI193" s="191">
        <v>4</v>
      </c>
      <c r="AJ193" s="191">
        <v>0</v>
      </c>
      <c r="AK193" s="191">
        <v>2</v>
      </c>
      <c r="AL193" s="191"/>
    </row>
    <row r="194" spans="1:38">
      <c r="A194" s="6" t="s">
        <v>11</v>
      </c>
      <c r="B194" s="6"/>
      <c r="C194" s="6"/>
      <c r="D194" s="6"/>
      <c r="E194" s="6"/>
      <c r="F194" s="9">
        <v>623</v>
      </c>
      <c r="G194" s="9">
        <f>738</f>
        <v>738</v>
      </c>
      <c r="H194" s="9">
        <f>873+3</f>
        <v>876</v>
      </c>
      <c r="I194" s="9">
        <v>674</v>
      </c>
      <c r="J194" s="9">
        <f>628+6</f>
        <v>634</v>
      </c>
      <c r="K194" s="9">
        <f>K191-K192-K193-K195</f>
        <v>785</v>
      </c>
      <c r="L194" s="9">
        <f>L191-L192-L193-L195</f>
        <v>724</v>
      </c>
      <c r="M194" s="9">
        <f>M191-M192-M193-M195</f>
        <v>799</v>
      </c>
      <c r="N194" s="9">
        <f>N191-N192-N193-N195</f>
        <v>918</v>
      </c>
      <c r="O194" s="9">
        <v>828</v>
      </c>
      <c r="P194" s="9">
        <v>1039</v>
      </c>
      <c r="Q194" s="9">
        <v>829</v>
      </c>
      <c r="R194" s="9">
        <v>1011</v>
      </c>
      <c r="S194" s="9">
        <v>868</v>
      </c>
      <c r="T194" s="9">
        <v>1089</v>
      </c>
      <c r="U194" s="9">
        <v>1158</v>
      </c>
      <c r="V194" s="9">
        <v>1312</v>
      </c>
      <c r="W194" s="14">
        <v>1734</v>
      </c>
      <c r="X194" s="14">
        <v>1993</v>
      </c>
      <c r="Y194" s="14">
        <v>1854</v>
      </c>
      <c r="Z194" s="14">
        <v>1772</v>
      </c>
      <c r="AA194" s="175">
        <v>1955</v>
      </c>
      <c r="AB194" s="175">
        <v>1683</v>
      </c>
      <c r="AC194" s="175">
        <v>1663</v>
      </c>
      <c r="AD194" s="175">
        <v>1693</v>
      </c>
      <c r="AE194" s="175">
        <v>1633</v>
      </c>
      <c r="AF194" s="175">
        <v>1503</v>
      </c>
      <c r="AG194" s="175">
        <v>1621</v>
      </c>
      <c r="AH194" s="191">
        <v>1589.6</v>
      </c>
      <c r="AI194" s="191">
        <v>1708</v>
      </c>
      <c r="AJ194" s="191">
        <v>1491</v>
      </c>
      <c r="AK194" s="191">
        <v>1537</v>
      </c>
      <c r="AL194" s="191"/>
    </row>
    <row r="195" spans="1:38">
      <c r="A195" s="6" t="s">
        <v>22</v>
      </c>
      <c r="B195" s="6"/>
      <c r="C195" s="6"/>
      <c r="D195" s="6"/>
      <c r="E195" s="6"/>
      <c r="F195" s="9">
        <v>417</v>
      </c>
      <c r="G195" s="9">
        <v>490</v>
      </c>
      <c r="H195" s="9">
        <v>443</v>
      </c>
      <c r="I195" s="9">
        <v>375</v>
      </c>
      <c r="J195" s="9">
        <v>333</v>
      </c>
      <c r="K195" s="9">
        <v>311</v>
      </c>
      <c r="L195" s="9">
        <v>282</v>
      </c>
      <c r="M195" s="9">
        <v>244</v>
      </c>
      <c r="N195" s="9">
        <v>309</v>
      </c>
      <c r="O195" s="9">
        <v>324</v>
      </c>
      <c r="P195" s="9">
        <v>341</v>
      </c>
      <c r="Q195" s="9">
        <v>358</v>
      </c>
      <c r="R195" s="9">
        <v>230</v>
      </c>
      <c r="S195" s="9">
        <v>248</v>
      </c>
      <c r="T195" s="9">
        <v>293</v>
      </c>
      <c r="U195" s="9">
        <v>288</v>
      </c>
      <c r="V195" s="9">
        <v>267</v>
      </c>
      <c r="W195" s="15">
        <v>183</v>
      </c>
      <c r="X195" s="15">
        <v>56</v>
      </c>
      <c r="Y195" s="15">
        <v>262</v>
      </c>
      <c r="Z195" s="15">
        <v>155</v>
      </c>
      <c r="AA195" s="176">
        <v>59.15</v>
      </c>
      <c r="AB195" s="176">
        <v>62.79</v>
      </c>
      <c r="AC195" s="176">
        <v>58.45</v>
      </c>
      <c r="AD195" s="176">
        <v>34.090000000000003</v>
      </c>
      <c r="AE195" s="176">
        <v>30.324999999999999</v>
      </c>
      <c r="AF195" s="176">
        <v>37.664999999999999</v>
      </c>
      <c r="AG195" s="176">
        <v>31.221</v>
      </c>
      <c r="AH195" s="191">
        <v>0</v>
      </c>
      <c r="AI195" s="191">
        <v>11</v>
      </c>
      <c r="AJ195" s="191">
        <v>15</v>
      </c>
      <c r="AK195" s="191">
        <v>15</v>
      </c>
      <c r="AL195" s="191"/>
    </row>
    <row r="196" spans="1:38">
      <c r="A196" s="6"/>
      <c r="B196" s="6"/>
      <c r="C196" s="6"/>
      <c r="D196" s="6"/>
      <c r="E196" s="6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</row>
    <row r="197" spans="1:38">
      <c r="A197" s="7" t="s">
        <v>18</v>
      </c>
      <c r="B197" s="7"/>
      <c r="C197" s="7"/>
      <c r="D197" s="7"/>
      <c r="E197" s="7"/>
      <c r="F197" s="7">
        <f>F200+F201</f>
        <v>7732</v>
      </c>
      <c r="G197" s="7">
        <f>G200+G201</f>
        <v>7906</v>
      </c>
      <c r="H197" s="7">
        <f>H200+H201</f>
        <v>8233</v>
      </c>
      <c r="I197" s="7">
        <f>I200+I201</f>
        <v>8179</v>
      </c>
      <c r="J197" s="7">
        <f>J200+J201</f>
        <v>8422</v>
      </c>
      <c r="K197" s="7">
        <v>8022</v>
      </c>
      <c r="L197" s="7">
        <v>8076</v>
      </c>
      <c r="M197" s="7">
        <v>8160</v>
      </c>
      <c r="N197" s="7">
        <v>8322</v>
      </c>
      <c r="O197" s="7">
        <f t="shared" ref="O197:AH197" si="224">O198+O199+O200+O201</f>
        <v>8260</v>
      </c>
      <c r="P197" s="7">
        <f t="shared" si="224"/>
        <v>8093</v>
      </c>
      <c r="Q197" s="7">
        <f t="shared" si="224"/>
        <v>8628</v>
      </c>
      <c r="R197" s="7">
        <f t="shared" si="224"/>
        <v>8581</v>
      </c>
      <c r="S197" s="7">
        <f t="shared" si="224"/>
        <v>8756</v>
      </c>
      <c r="T197" s="7">
        <f t="shared" si="224"/>
        <v>9760</v>
      </c>
      <c r="U197" s="7">
        <f t="shared" si="224"/>
        <v>10121</v>
      </c>
      <c r="V197" s="7">
        <f t="shared" si="224"/>
        <v>11070</v>
      </c>
      <c r="W197" s="7">
        <f t="shared" si="224"/>
        <v>11352</v>
      </c>
      <c r="X197" s="7">
        <f t="shared" si="224"/>
        <v>11411</v>
      </c>
      <c r="Y197" s="7">
        <f t="shared" si="224"/>
        <v>11546</v>
      </c>
      <c r="Z197" s="7">
        <f t="shared" si="224"/>
        <v>11825</v>
      </c>
      <c r="AA197" s="7">
        <f t="shared" si="224"/>
        <v>12048.32</v>
      </c>
      <c r="AB197" s="7">
        <f t="shared" si="224"/>
        <v>12104.47</v>
      </c>
      <c r="AC197" s="7">
        <f t="shared" si="224"/>
        <v>12385.53</v>
      </c>
      <c r="AD197" s="7">
        <f t="shared" si="224"/>
        <v>12886.34</v>
      </c>
      <c r="AE197" s="7">
        <f t="shared" ref="AE197:AF197" si="225">AE198+AE199+AE200+AE201</f>
        <v>12657.434999999999</v>
      </c>
      <c r="AF197" s="7">
        <f t="shared" si="225"/>
        <v>12439.313</v>
      </c>
      <c r="AG197" s="7">
        <f t="shared" si="224"/>
        <v>13040.880000000001</v>
      </c>
      <c r="AH197" s="7">
        <f t="shared" si="224"/>
        <v>14035.406000000001</v>
      </c>
      <c r="AI197" s="7">
        <f t="shared" ref="AI197:AK197" si="226">AI198+AI199+AI200+AI201</f>
        <v>13583</v>
      </c>
      <c r="AJ197" s="7">
        <f t="shared" ref="AJ197" si="227">AJ198+AJ199+AJ200+AJ201</f>
        <v>13862</v>
      </c>
      <c r="AK197" s="198">
        <f t="shared" si="226"/>
        <v>12978</v>
      </c>
      <c r="AL197" s="7"/>
    </row>
    <row r="198" spans="1:38">
      <c r="A198" s="6" t="s">
        <v>1</v>
      </c>
      <c r="B198" s="6"/>
      <c r="C198" s="6"/>
      <c r="D198" s="6"/>
      <c r="E198" s="6"/>
      <c r="F198" s="10"/>
      <c r="G198" s="10"/>
      <c r="H198" s="10"/>
      <c r="I198" s="10"/>
      <c r="J198" s="10"/>
      <c r="K198" s="9">
        <v>0</v>
      </c>
      <c r="L198" s="9">
        <v>0</v>
      </c>
      <c r="M198" s="9">
        <v>0</v>
      </c>
      <c r="N198" s="9">
        <v>46</v>
      </c>
      <c r="O198" s="9">
        <v>0</v>
      </c>
      <c r="P198" s="9">
        <v>0</v>
      </c>
      <c r="Q198" s="9">
        <v>0</v>
      </c>
      <c r="R198" s="9">
        <v>0</v>
      </c>
      <c r="S198" s="9">
        <v>0</v>
      </c>
      <c r="T198" s="9">
        <v>0</v>
      </c>
      <c r="U198" s="9">
        <v>0</v>
      </c>
      <c r="V198" s="9">
        <v>0</v>
      </c>
      <c r="W198" s="14">
        <v>0</v>
      </c>
      <c r="X198" s="14">
        <v>0</v>
      </c>
      <c r="Y198" s="14">
        <v>0</v>
      </c>
      <c r="Z198" s="14">
        <v>0</v>
      </c>
      <c r="AA198" s="175">
        <v>0</v>
      </c>
      <c r="AB198" s="175">
        <v>0</v>
      </c>
      <c r="AC198" s="175">
        <v>0</v>
      </c>
      <c r="AD198" s="175">
        <v>0</v>
      </c>
      <c r="AE198" s="175">
        <v>0</v>
      </c>
      <c r="AF198" s="175">
        <v>0</v>
      </c>
      <c r="AG198" s="175">
        <v>0</v>
      </c>
      <c r="AH198" s="191">
        <v>0</v>
      </c>
      <c r="AI198" s="191">
        <v>0</v>
      </c>
      <c r="AJ198" s="191">
        <v>0</v>
      </c>
      <c r="AK198" s="199">
        <v>0</v>
      </c>
      <c r="AL198" s="191"/>
    </row>
    <row r="199" spans="1:38">
      <c r="A199" s="6" t="s">
        <v>2</v>
      </c>
      <c r="B199" s="6"/>
      <c r="C199" s="6"/>
      <c r="D199" s="6"/>
      <c r="E199" s="6"/>
      <c r="F199" s="10"/>
      <c r="G199" s="10"/>
      <c r="H199" s="10"/>
      <c r="I199" s="10"/>
      <c r="J199" s="10"/>
      <c r="K199" s="9">
        <v>57</v>
      </c>
      <c r="L199" s="9">
        <v>9</v>
      </c>
      <c r="M199" s="9">
        <v>0</v>
      </c>
      <c r="N199" s="9">
        <v>12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15">
        <v>0</v>
      </c>
      <c r="X199" s="15">
        <v>0</v>
      </c>
      <c r="Y199" s="15">
        <v>0</v>
      </c>
      <c r="Z199" s="15">
        <v>0</v>
      </c>
      <c r="AA199" s="176">
        <v>53.47</v>
      </c>
      <c r="AB199" s="176">
        <v>308.8</v>
      </c>
      <c r="AC199" s="176">
        <v>66.2</v>
      </c>
      <c r="AD199" s="176">
        <v>422.1</v>
      </c>
      <c r="AE199" s="176">
        <v>76.400000000000006</v>
      </c>
      <c r="AF199" s="176">
        <v>385.89699999999999</v>
      </c>
      <c r="AG199" s="176">
        <v>310.85000000000002</v>
      </c>
      <c r="AH199" s="191">
        <v>703.88</v>
      </c>
      <c r="AI199" s="191">
        <v>409</v>
      </c>
      <c r="AJ199" s="191">
        <v>656</v>
      </c>
      <c r="AK199" s="199">
        <v>703</v>
      </c>
      <c r="AL199" s="191"/>
    </row>
    <row r="200" spans="1:38">
      <c r="A200" s="6" t="s">
        <v>11</v>
      </c>
      <c r="B200" s="6"/>
      <c r="C200" s="6"/>
      <c r="D200" s="6"/>
      <c r="E200" s="6"/>
      <c r="F200" s="9">
        <v>6808</v>
      </c>
      <c r="G200" s="9">
        <f>108+6797+29</f>
        <v>6934</v>
      </c>
      <c r="H200" s="9">
        <f>132+7180+35</f>
        <v>7347</v>
      </c>
      <c r="I200" s="9">
        <f>132+7202+59</f>
        <v>7393</v>
      </c>
      <c r="J200" s="9">
        <f>7741+21</f>
        <v>7762</v>
      </c>
      <c r="K200" s="9">
        <f>K197-K198-K199-K201</f>
        <v>7249</v>
      </c>
      <c r="L200" s="9">
        <f>L197-L198-L199-L201</f>
        <v>7481</v>
      </c>
      <c r="M200" s="9">
        <f>M197-M198-M199-M201</f>
        <v>7561</v>
      </c>
      <c r="N200" s="9">
        <f>N197-N198-N199-N201</f>
        <v>7620</v>
      </c>
      <c r="O200" s="9">
        <v>7691</v>
      </c>
      <c r="P200" s="9">
        <v>7322</v>
      </c>
      <c r="Q200" s="9">
        <v>7782</v>
      </c>
      <c r="R200" s="9">
        <v>7790</v>
      </c>
      <c r="S200" s="9">
        <v>7828</v>
      </c>
      <c r="T200" s="9">
        <v>8853</v>
      </c>
      <c r="U200" s="9">
        <v>9284</v>
      </c>
      <c r="V200" s="9">
        <v>10204</v>
      </c>
      <c r="W200" s="15">
        <v>10382</v>
      </c>
      <c r="X200" s="15">
        <v>10536</v>
      </c>
      <c r="Y200" s="15">
        <v>10604</v>
      </c>
      <c r="Z200" s="15">
        <v>10633</v>
      </c>
      <c r="AA200" s="176">
        <v>11624.06</v>
      </c>
      <c r="AB200" s="176">
        <v>11432.66</v>
      </c>
      <c r="AC200" s="176">
        <v>12000.02</v>
      </c>
      <c r="AD200" s="176">
        <v>12122.88</v>
      </c>
      <c r="AE200" s="176">
        <v>12312.040999999999</v>
      </c>
      <c r="AF200" s="176">
        <v>11735.357</v>
      </c>
      <c r="AG200" s="176">
        <v>12422.663</v>
      </c>
      <c r="AH200" s="191">
        <v>13032.799000000001</v>
      </c>
      <c r="AI200" s="191">
        <v>12923</v>
      </c>
      <c r="AJ200" s="191">
        <v>13025</v>
      </c>
      <c r="AK200" s="199">
        <v>10905</v>
      </c>
      <c r="AL200" s="191"/>
    </row>
    <row r="201" spans="1:38">
      <c r="A201" s="6" t="s">
        <v>22</v>
      </c>
      <c r="B201" s="6"/>
      <c r="C201" s="6"/>
      <c r="D201" s="6"/>
      <c r="E201" s="6"/>
      <c r="F201" s="9">
        <v>924</v>
      </c>
      <c r="G201" s="9">
        <v>972</v>
      </c>
      <c r="H201" s="9">
        <v>886</v>
      </c>
      <c r="I201" s="9">
        <v>786</v>
      </c>
      <c r="J201" s="9">
        <v>660</v>
      </c>
      <c r="K201" s="9">
        <v>716</v>
      </c>
      <c r="L201" s="9">
        <v>586</v>
      </c>
      <c r="M201" s="9">
        <v>599</v>
      </c>
      <c r="N201" s="9">
        <v>644</v>
      </c>
      <c r="O201" s="9">
        <v>569</v>
      </c>
      <c r="P201" s="9">
        <v>771</v>
      </c>
      <c r="Q201" s="9">
        <v>846</v>
      </c>
      <c r="R201" s="9">
        <v>791</v>
      </c>
      <c r="S201" s="9">
        <v>928</v>
      </c>
      <c r="T201" s="9">
        <v>907</v>
      </c>
      <c r="U201" s="9">
        <v>837</v>
      </c>
      <c r="V201" s="9">
        <v>866</v>
      </c>
      <c r="W201" s="15">
        <v>970</v>
      </c>
      <c r="X201" s="15">
        <v>875</v>
      </c>
      <c r="Y201" s="15">
        <v>942</v>
      </c>
      <c r="Z201" s="15">
        <v>1192</v>
      </c>
      <c r="AA201" s="176">
        <v>370.79</v>
      </c>
      <c r="AB201" s="176">
        <v>363.01</v>
      </c>
      <c r="AC201" s="176">
        <v>319.31</v>
      </c>
      <c r="AD201" s="176">
        <v>341.36</v>
      </c>
      <c r="AE201" s="176">
        <v>268.99400000000003</v>
      </c>
      <c r="AF201" s="176">
        <v>318.05900000000003</v>
      </c>
      <c r="AG201" s="176">
        <v>307.36700000000002</v>
      </c>
      <c r="AH201" s="191">
        <v>298.72699999999998</v>
      </c>
      <c r="AI201" s="191">
        <v>251</v>
      </c>
      <c r="AJ201" s="191">
        <v>181</v>
      </c>
      <c r="AK201" s="199">
        <v>1370</v>
      </c>
      <c r="AL201" s="191"/>
    </row>
    <row r="202" spans="1:38">
      <c r="A202" s="6"/>
      <c r="B202" s="6"/>
      <c r="C202" s="6"/>
      <c r="D202" s="6"/>
      <c r="E202" s="6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</row>
    <row r="203" spans="1:38">
      <c r="A203" s="7" t="s">
        <v>19</v>
      </c>
      <c r="B203" s="7"/>
      <c r="C203" s="7"/>
      <c r="D203" s="7"/>
      <c r="E203" s="7"/>
      <c r="F203" s="7">
        <f>F206+F207</f>
        <v>8205</v>
      </c>
      <c r="G203" s="7">
        <f>G206+G207</f>
        <v>8722</v>
      </c>
      <c r="H203" s="7">
        <f>H206+H207</f>
        <v>8773</v>
      </c>
      <c r="I203" s="7">
        <f>I206+I207</f>
        <v>8780</v>
      </c>
      <c r="J203" s="7">
        <f>J206+J207</f>
        <v>9350</v>
      </c>
      <c r="K203" s="7">
        <v>8637</v>
      </c>
      <c r="L203" s="7">
        <v>8636</v>
      </c>
      <c r="M203" s="7">
        <v>8405</v>
      </c>
      <c r="N203" s="7">
        <v>8976</v>
      </c>
      <c r="O203" s="7">
        <f t="shared" ref="O203:AH203" si="228">O204+O205+O206+O207</f>
        <v>8678</v>
      </c>
      <c r="P203" s="7">
        <f t="shared" si="228"/>
        <v>9084</v>
      </c>
      <c r="Q203" s="7">
        <f t="shared" si="228"/>
        <v>8952</v>
      </c>
      <c r="R203" s="7">
        <f t="shared" si="228"/>
        <v>9814</v>
      </c>
      <c r="S203" s="7">
        <f t="shared" si="228"/>
        <v>10248</v>
      </c>
      <c r="T203" s="7">
        <f t="shared" si="228"/>
        <v>10548</v>
      </c>
      <c r="U203" s="7">
        <f t="shared" si="228"/>
        <v>10434</v>
      </c>
      <c r="V203" s="7">
        <f t="shared" si="228"/>
        <v>11746</v>
      </c>
      <c r="W203" s="7">
        <f t="shared" si="228"/>
        <v>12156</v>
      </c>
      <c r="X203" s="7">
        <f t="shared" si="228"/>
        <v>12215</v>
      </c>
      <c r="Y203" s="7">
        <f t="shared" si="228"/>
        <v>12284</v>
      </c>
      <c r="Z203" s="7">
        <f t="shared" si="228"/>
        <v>13037</v>
      </c>
      <c r="AA203" s="7">
        <f t="shared" si="228"/>
        <v>12898.949999999999</v>
      </c>
      <c r="AB203" s="7">
        <f t="shared" si="228"/>
        <v>13000.99</v>
      </c>
      <c r="AC203" s="7">
        <f t="shared" si="228"/>
        <v>12981.269999999999</v>
      </c>
      <c r="AD203" s="7">
        <f t="shared" si="228"/>
        <v>13133.490000000002</v>
      </c>
      <c r="AE203" s="7">
        <f t="shared" ref="AE203:AF203" si="229">AE204+AE205+AE206+AE207</f>
        <v>13534.630999999999</v>
      </c>
      <c r="AF203" s="7">
        <f t="shared" si="229"/>
        <v>13879.126</v>
      </c>
      <c r="AG203" s="7">
        <f t="shared" si="228"/>
        <v>14205.127</v>
      </c>
      <c r="AH203" s="7">
        <f t="shared" si="228"/>
        <v>14960.89</v>
      </c>
      <c r="AI203" s="7">
        <f t="shared" ref="AI203:AK203" si="230">AI204+AI205+AI206+AI207</f>
        <v>14393.66</v>
      </c>
      <c r="AJ203" s="7">
        <f t="shared" ref="AJ203" si="231">AJ204+AJ205+AJ206+AJ207</f>
        <v>14472</v>
      </c>
      <c r="AK203" s="198">
        <f t="shared" si="230"/>
        <v>14392</v>
      </c>
      <c r="AL203" s="7"/>
    </row>
    <row r="204" spans="1:38">
      <c r="A204" s="6" t="s">
        <v>1</v>
      </c>
      <c r="B204" s="6"/>
      <c r="C204" s="6"/>
      <c r="D204" s="6"/>
      <c r="E204" s="6"/>
      <c r="F204" s="10"/>
      <c r="G204" s="10"/>
      <c r="H204" s="10"/>
      <c r="I204" s="10"/>
      <c r="J204" s="10"/>
      <c r="K204" s="9">
        <v>4</v>
      </c>
      <c r="L204" s="9">
        <v>0</v>
      </c>
      <c r="M204" s="9">
        <v>0</v>
      </c>
      <c r="N204" s="9">
        <v>66</v>
      </c>
      <c r="O204" s="9">
        <v>13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  <c r="V204" s="9">
        <v>0</v>
      </c>
      <c r="W204" s="14">
        <v>0</v>
      </c>
      <c r="X204" s="14">
        <v>0</v>
      </c>
      <c r="Y204" s="14">
        <v>0</v>
      </c>
      <c r="Z204" s="14">
        <v>0</v>
      </c>
      <c r="AA204" s="175">
        <v>0</v>
      </c>
      <c r="AB204" s="175">
        <v>0</v>
      </c>
      <c r="AC204" s="175">
        <v>0</v>
      </c>
      <c r="AD204" s="175">
        <v>0</v>
      </c>
      <c r="AE204" s="175">
        <v>0</v>
      </c>
      <c r="AF204" s="175">
        <v>0</v>
      </c>
      <c r="AG204" s="175">
        <v>0</v>
      </c>
      <c r="AH204" s="191">
        <v>0</v>
      </c>
      <c r="AI204" s="191">
        <v>0</v>
      </c>
      <c r="AJ204" s="191">
        <v>0</v>
      </c>
      <c r="AK204" s="199">
        <v>0</v>
      </c>
      <c r="AL204" s="191"/>
    </row>
    <row r="205" spans="1:38">
      <c r="A205" s="6" t="s">
        <v>2</v>
      </c>
      <c r="B205" s="6"/>
      <c r="C205" s="6"/>
      <c r="D205" s="6"/>
      <c r="E205" s="6"/>
      <c r="F205" s="10"/>
      <c r="G205" s="10"/>
      <c r="H205" s="10"/>
      <c r="I205" s="10"/>
      <c r="J205" s="10"/>
      <c r="K205" s="9">
        <v>22</v>
      </c>
      <c r="L205" s="9">
        <v>9</v>
      </c>
      <c r="M205" s="9">
        <v>9</v>
      </c>
      <c r="N205" s="9">
        <v>15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15">
        <v>0</v>
      </c>
      <c r="X205" s="15">
        <v>0</v>
      </c>
      <c r="Y205" s="15">
        <v>0</v>
      </c>
      <c r="Z205" s="15">
        <v>0</v>
      </c>
      <c r="AA205" s="176">
        <v>475.77</v>
      </c>
      <c r="AB205" s="176">
        <v>563.29999999999995</v>
      </c>
      <c r="AC205" s="176">
        <v>437.55</v>
      </c>
      <c r="AD205" s="176">
        <v>362.02</v>
      </c>
      <c r="AE205" s="176">
        <v>378.791</v>
      </c>
      <c r="AF205" s="176">
        <v>312.70299999999997</v>
      </c>
      <c r="AG205" s="176">
        <v>533.09100000000001</v>
      </c>
      <c r="AH205" s="191">
        <v>321.14999999999998</v>
      </c>
      <c r="AI205" s="191">
        <v>380.33</v>
      </c>
      <c r="AJ205" s="191">
        <v>318</v>
      </c>
      <c r="AK205" s="199">
        <v>850</v>
      </c>
      <c r="AL205" s="191"/>
    </row>
    <row r="206" spans="1:38">
      <c r="A206" s="6" t="s">
        <v>11</v>
      </c>
      <c r="B206" s="6"/>
      <c r="C206" s="6"/>
      <c r="D206" s="6"/>
      <c r="E206" s="6"/>
      <c r="F206" s="9">
        <v>7117</v>
      </c>
      <c r="G206" s="9">
        <f>187+7373+49</f>
        <v>7609</v>
      </c>
      <c r="H206" s="9">
        <f>189+7492+205</f>
        <v>7886</v>
      </c>
      <c r="I206" s="9">
        <f>167+7610+240</f>
        <v>8017</v>
      </c>
      <c r="J206" s="9">
        <v>8589</v>
      </c>
      <c r="K206" s="9">
        <f>K203-K204-K205-K207</f>
        <v>8031</v>
      </c>
      <c r="L206" s="9">
        <f>L203-L204-L205-L207</f>
        <v>8057</v>
      </c>
      <c r="M206" s="9">
        <f>M203-M204-M205-M207</f>
        <v>7816</v>
      </c>
      <c r="N206" s="9">
        <f>N203-N204-N205-N207</f>
        <v>8154</v>
      </c>
      <c r="O206" s="9">
        <v>7949</v>
      </c>
      <c r="P206" s="9">
        <v>8335</v>
      </c>
      <c r="Q206" s="9">
        <v>8226</v>
      </c>
      <c r="R206" s="9">
        <v>9100</v>
      </c>
      <c r="S206" s="9">
        <v>9495</v>
      </c>
      <c r="T206" s="9">
        <v>9805</v>
      </c>
      <c r="U206" s="9">
        <v>9614</v>
      </c>
      <c r="V206" s="9">
        <v>11015</v>
      </c>
      <c r="W206" s="15">
        <v>11364</v>
      </c>
      <c r="X206" s="15">
        <v>11415</v>
      </c>
      <c r="Y206" s="15">
        <v>11531</v>
      </c>
      <c r="Z206" s="15">
        <v>11899</v>
      </c>
      <c r="AA206" s="176">
        <v>12169.22</v>
      </c>
      <c r="AB206" s="176">
        <v>12153.32</v>
      </c>
      <c r="AC206" s="176">
        <v>12261.73</v>
      </c>
      <c r="AD206" s="176">
        <v>12493.93</v>
      </c>
      <c r="AE206" s="176">
        <v>12867.65</v>
      </c>
      <c r="AF206" s="176">
        <v>13287.35</v>
      </c>
      <c r="AG206" s="176">
        <v>13359.721</v>
      </c>
      <c r="AH206" s="191">
        <v>14363.673000000001</v>
      </c>
      <c r="AI206" s="191">
        <v>13825.67</v>
      </c>
      <c r="AJ206" s="191">
        <v>13837</v>
      </c>
      <c r="AK206" s="199">
        <v>12198</v>
      </c>
      <c r="AL206" s="191"/>
    </row>
    <row r="207" spans="1:38">
      <c r="A207" s="6" t="s">
        <v>22</v>
      </c>
      <c r="B207" s="6"/>
      <c r="C207" s="6"/>
      <c r="D207" s="6"/>
      <c r="E207" s="6"/>
      <c r="F207" s="9">
        <v>1088</v>
      </c>
      <c r="G207" s="9">
        <v>1113</v>
      </c>
      <c r="H207" s="9">
        <v>887</v>
      </c>
      <c r="I207" s="9">
        <v>763</v>
      </c>
      <c r="J207" s="9">
        <v>761</v>
      </c>
      <c r="K207" s="9">
        <v>580</v>
      </c>
      <c r="L207" s="9">
        <v>570</v>
      </c>
      <c r="M207" s="9">
        <v>580</v>
      </c>
      <c r="N207" s="9">
        <v>741</v>
      </c>
      <c r="O207" s="9">
        <v>716</v>
      </c>
      <c r="P207" s="9">
        <v>749</v>
      </c>
      <c r="Q207" s="9">
        <v>726</v>
      </c>
      <c r="R207" s="9">
        <v>714</v>
      </c>
      <c r="S207" s="9">
        <v>753</v>
      </c>
      <c r="T207" s="9">
        <v>743</v>
      </c>
      <c r="U207" s="9">
        <v>820</v>
      </c>
      <c r="V207" s="9">
        <v>731</v>
      </c>
      <c r="W207" s="15">
        <v>792</v>
      </c>
      <c r="X207" s="15">
        <v>800</v>
      </c>
      <c r="Y207" s="15">
        <v>753</v>
      </c>
      <c r="Z207" s="15">
        <v>1138</v>
      </c>
      <c r="AA207" s="176">
        <v>253.96</v>
      </c>
      <c r="AB207" s="176">
        <v>284.37</v>
      </c>
      <c r="AC207" s="176">
        <v>281.99</v>
      </c>
      <c r="AD207" s="176">
        <v>277.54000000000002</v>
      </c>
      <c r="AE207" s="176">
        <v>288.19</v>
      </c>
      <c r="AF207" s="176">
        <v>279.07299999999998</v>
      </c>
      <c r="AG207" s="176">
        <v>312.315</v>
      </c>
      <c r="AH207" s="191">
        <v>276.06700000000001</v>
      </c>
      <c r="AI207" s="191">
        <v>187.66</v>
      </c>
      <c r="AJ207" s="191">
        <v>317</v>
      </c>
      <c r="AK207" s="199">
        <v>1344</v>
      </c>
      <c r="AL207" s="191"/>
    </row>
    <row r="208" spans="1:38">
      <c r="A208" s="6"/>
      <c r="B208" s="6"/>
      <c r="C208" s="6"/>
      <c r="D208" s="6"/>
      <c r="E208" s="6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</row>
    <row r="209" spans="1:38">
      <c r="A209" s="7" t="s">
        <v>20</v>
      </c>
      <c r="B209" s="7"/>
      <c r="C209" s="7"/>
      <c r="D209" s="7"/>
      <c r="E209" s="7"/>
      <c r="F209" s="7">
        <f>F191+F197+F203</f>
        <v>16977</v>
      </c>
      <c r="G209" s="7">
        <f>G191+G197+G203</f>
        <v>17856</v>
      </c>
      <c r="H209" s="7">
        <f>H191+H197+H203</f>
        <v>18325</v>
      </c>
      <c r="I209" s="7">
        <f>I191+I197+I203</f>
        <v>18008</v>
      </c>
      <c r="J209" s="7">
        <f>J191+J197+J203</f>
        <v>18739</v>
      </c>
      <c r="K209" s="7">
        <f>SUM(K210:K213)</f>
        <v>17764</v>
      </c>
      <c r="L209" s="7">
        <f>SUM(L210:L213)</f>
        <v>17718</v>
      </c>
      <c r="M209" s="7">
        <f>SUM(M210:M213)</f>
        <v>17608</v>
      </c>
      <c r="N209" s="7">
        <f>SUM(N210:N213)</f>
        <v>18529</v>
      </c>
      <c r="O209" s="7">
        <f t="shared" ref="O209:AG209" si="232">O191+O197+O203</f>
        <v>18090</v>
      </c>
      <c r="P209" s="7">
        <f t="shared" si="232"/>
        <v>18557</v>
      </c>
      <c r="Q209" s="7">
        <f t="shared" si="232"/>
        <v>18767</v>
      </c>
      <c r="R209" s="7">
        <f t="shared" si="232"/>
        <v>19636</v>
      </c>
      <c r="S209" s="7">
        <f t="shared" si="232"/>
        <v>20120</v>
      </c>
      <c r="T209" s="7">
        <f t="shared" si="232"/>
        <v>21690</v>
      </c>
      <c r="U209" s="7">
        <f t="shared" si="232"/>
        <v>22001</v>
      </c>
      <c r="V209" s="7">
        <f t="shared" si="232"/>
        <v>24395</v>
      </c>
      <c r="W209" s="7">
        <f t="shared" si="232"/>
        <v>25425</v>
      </c>
      <c r="X209" s="7">
        <f t="shared" si="232"/>
        <v>25675</v>
      </c>
      <c r="Y209" s="7">
        <f t="shared" si="232"/>
        <v>25946</v>
      </c>
      <c r="Z209" s="7">
        <f t="shared" si="232"/>
        <v>26789</v>
      </c>
      <c r="AA209" s="7">
        <f t="shared" si="232"/>
        <v>26961.62</v>
      </c>
      <c r="AB209" s="7">
        <f t="shared" si="232"/>
        <v>26851.25</v>
      </c>
      <c r="AC209" s="7">
        <f t="shared" si="232"/>
        <v>27088.25</v>
      </c>
      <c r="AD209" s="7">
        <f t="shared" si="232"/>
        <v>27747.32</v>
      </c>
      <c r="AE209" s="7">
        <f t="shared" ref="AE209:AF209" si="233">AE191+AE197+AE203</f>
        <v>27855.391</v>
      </c>
      <c r="AF209" s="7">
        <f t="shared" si="233"/>
        <v>27859.103999999999</v>
      </c>
      <c r="AG209" s="7">
        <f t="shared" si="232"/>
        <v>28898.228000000003</v>
      </c>
      <c r="AH209" s="7">
        <f t="shared" ref="AH209:AK209" si="234">AH191+AH197+AH203</f>
        <v>30593.146000000001</v>
      </c>
      <c r="AI209" s="7">
        <f t="shared" ref="AI209:AJ209" si="235">AI191+AI197+AI203</f>
        <v>29699.66</v>
      </c>
      <c r="AJ209" s="7">
        <f t="shared" si="235"/>
        <v>29840</v>
      </c>
      <c r="AK209" s="7">
        <f t="shared" si="234"/>
        <v>28924</v>
      </c>
      <c r="AL209" s="7"/>
    </row>
    <row r="210" spans="1:38">
      <c r="A210" s="71" t="s">
        <v>1</v>
      </c>
      <c r="B210" s="7"/>
      <c r="C210" s="7"/>
      <c r="D210" s="7"/>
      <c r="E210" s="7"/>
      <c r="F210" s="7"/>
      <c r="G210" s="7"/>
      <c r="H210" s="7"/>
      <c r="I210" s="7"/>
      <c r="J210" s="7"/>
      <c r="K210" s="7">
        <f t="shared" ref="K210:N213" si="236">K192+K198+K204</f>
        <v>4</v>
      </c>
      <c r="L210" s="7">
        <f t="shared" si="236"/>
        <v>0</v>
      </c>
      <c r="M210" s="7">
        <f t="shared" si="236"/>
        <v>0</v>
      </c>
      <c r="N210" s="7">
        <f t="shared" si="236"/>
        <v>112</v>
      </c>
      <c r="O210" s="7">
        <f t="shared" ref="O210:AG210" si="237">O192+O198+O204</f>
        <v>13</v>
      </c>
      <c r="P210" s="7">
        <f t="shared" si="237"/>
        <v>0</v>
      </c>
      <c r="Q210" s="7">
        <f t="shared" si="237"/>
        <v>0</v>
      </c>
      <c r="R210" s="7">
        <f t="shared" si="237"/>
        <v>0</v>
      </c>
      <c r="S210" s="7">
        <f t="shared" si="237"/>
        <v>0</v>
      </c>
      <c r="T210" s="7">
        <f t="shared" si="237"/>
        <v>0</v>
      </c>
      <c r="U210" s="7">
        <f t="shared" si="237"/>
        <v>0</v>
      </c>
      <c r="V210" s="7">
        <f t="shared" si="237"/>
        <v>0</v>
      </c>
      <c r="W210" s="7">
        <f t="shared" si="237"/>
        <v>0</v>
      </c>
      <c r="X210" s="7">
        <f t="shared" si="237"/>
        <v>0</v>
      </c>
      <c r="Y210" s="7">
        <f t="shared" si="237"/>
        <v>0</v>
      </c>
      <c r="Z210" s="7">
        <f t="shared" si="237"/>
        <v>0</v>
      </c>
      <c r="AA210" s="7">
        <f t="shared" si="237"/>
        <v>0</v>
      </c>
      <c r="AB210" s="7">
        <f t="shared" si="237"/>
        <v>0</v>
      </c>
      <c r="AC210" s="7">
        <f t="shared" si="237"/>
        <v>0</v>
      </c>
      <c r="AD210" s="7">
        <f t="shared" si="237"/>
        <v>0</v>
      </c>
      <c r="AE210" s="7">
        <f t="shared" ref="AE210:AF210" si="238">AE192+AE198+AE204</f>
        <v>0</v>
      </c>
      <c r="AF210" s="7">
        <f t="shared" si="238"/>
        <v>0</v>
      </c>
      <c r="AG210" s="7">
        <f t="shared" si="237"/>
        <v>0</v>
      </c>
      <c r="AH210" s="7">
        <f t="shared" ref="AH210:AK210" si="239">AH192+AH198+AH204</f>
        <v>0</v>
      </c>
      <c r="AI210" s="7">
        <f t="shared" ref="AI210:AJ210" si="240">AI192+AI198+AI204</f>
        <v>0</v>
      </c>
      <c r="AJ210" s="7">
        <f t="shared" si="240"/>
        <v>0</v>
      </c>
      <c r="AK210" s="7">
        <f t="shared" si="239"/>
        <v>0</v>
      </c>
      <c r="AL210" s="7"/>
    </row>
    <row r="211" spans="1:38">
      <c r="A211" s="71" t="s">
        <v>2</v>
      </c>
      <c r="B211" s="7"/>
      <c r="C211" s="7"/>
      <c r="D211" s="7"/>
      <c r="E211" s="7"/>
      <c r="F211" s="7"/>
      <c r="G211" s="7"/>
      <c r="H211" s="7"/>
      <c r="I211" s="7"/>
      <c r="J211" s="7"/>
      <c r="K211" s="7">
        <f t="shared" si="236"/>
        <v>88</v>
      </c>
      <c r="L211" s="7">
        <f t="shared" si="236"/>
        <v>18</v>
      </c>
      <c r="M211" s="7">
        <f t="shared" si="236"/>
        <v>9</v>
      </c>
      <c r="N211" s="7">
        <f t="shared" si="236"/>
        <v>31</v>
      </c>
      <c r="O211" s="7">
        <f t="shared" ref="O211:AG211" si="241">O193+O199+O205</f>
        <v>0</v>
      </c>
      <c r="P211" s="7">
        <f t="shared" si="241"/>
        <v>0</v>
      </c>
      <c r="Q211" s="7">
        <f t="shared" si="241"/>
        <v>0</v>
      </c>
      <c r="R211" s="7">
        <f t="shared" si="241"/>
        <v>0</v>
      </c>
      <c r="S211" s="7">
        <f t="shared" si="241"/>
        <v>0</v>
      </c>
      <c r="T211" s="7">
        <f t="shared" si="241"/>
        <v>0</v>
      </c>
      <c r="U211" s="7">
        <f t="shared" si="241"/>
        <v>0</v>
      </c>
      <c r="V211" s="7">
        <f t="shared" si="241"/>
        <v>0</v>
      </c>
      <c r="W211" s="7">
        <f t="shared" si="241"/>
        <v>0</v>
      </c>
      <c r="X211" s="7">
        <f t="shared" si="241"/>
        <v>0</v>
      </c>
      <c r="Y211" s="7">
        <f t="shared" si="241"/>
        <v>0</v>
      </c>
      <c r="Z211" s="7">
        <f t="shared" si="241"/>
        <v>0</v>
      </c>
      <c r="AA211" s="7">
        <f t="shared" si="241"/>
        <v>529.43999999999994</v>
      </c>
      <c r="AB211" s="7">
        <f t="shared" si="241"/>
        <v>872.09999999999991</v>
      </c>
      <c r="AC211" s="7">
        <f t="shared" si="241"/>
        <v>503.75</v>
      </c>
      <c r="AD211" s="7">
        <f t="shared" si="241"/>
        <v>784.52</v>
      </c>
      <c r="AE211" s="7">
        <f t="shared" ref="AE211:AF211" si="242">AE193+AE199+AE205</f>
        <v>455.19100000000003</v>
      </c>
      <c r="AF211" s="7">
        <f t="shared" si="242"/>
        <v>698.59999999999991</v>
      </c>
      <c r="AG211" s="7">
        <f t="shared" si="241"/>
        <v>843.94100000000003</v>
      </c>
      <c r="AH211" s="7">
        <f t="shared" ref="AH211:AK211" si="243">AH193+AH199+AH205</f>
        <v>1032.28</v>
      </c>
      <c r="AI211" s="7">
        <f t="shared" ref="AI211:AJ211" si="244">AI193+AI199+AI205</f>
        <v>793.32999999999993</v>
      </c>
      <c r="AJ211" s="7">
        <f t="shared" si="244"/>
        <v>974</v>
      </c>
      <c r="AK211" s="7">
        <f t="shared" si="243"/>
        <v>1555</v>
      </c>
      <c r="AL211" s="7"/>
    </row>
    <row r="212" spans="1:38">
      <c r="A212" s="70" t="s">
        <v>11</v>
      </c>
      <c r="B212" s="7"/>
      <c r="C212" s="7"/>
      <c r="D212" s="7"/>
      <c r="E212" s="7"/>
      <c r="F212" s="7">
        <f t="shared" ref="F212:J213" si="245">F194+F200+F206</f>
        <v>14548</v>
      </c>
      <c r="G212" s="7">
        <f t="shared" si="245"/>
        <v>15281</v>
      </c>
      <c r="H212" s="7">
        <f t="shared" si="245"/>
        <v>16109</v>
      </c>
      <c r="I212" s="7">
        <f t="shared" si="245"/>
        <v>16084</v>
      </c>
      <c r="J212" s="7">
        <f t="shared" si="245"/>
        <v>16985</v>
      </c>
      <c r="K212" s="7">
        <f t="shared" si="236"/>
        <v>16065</v>
      </c>
      <c r="L212" s="7">
        <f t="shared" si="236"/>
        <v>16262</v>
      </c>
      <c r="M212" s="7">
        <f t="shared" si="236"/>
        <v>16176</v>
      </c>
      <c r="N212" s="7">
        <f t="shared" si="236"/>
        <v>16692</v>
      </c>
      <c r="O212" s="7">
        <f t="shared" ref="O212:AG212" si="246">O194+O200+O206</f>
        <v>16468</v>
      </c>
      <c r="P212" s="7">
        <f t="shared" si="246"/>
        <v>16696</v>
      </c>
      <c r="Q212" s="7">
        <f t="shared" si="246"/>
        <v>16837</v>
      </c>
      <c r="R212" s="7">
        <f t="shared" si="246"/>
        <v>17901</v>
      </c>
      <c r="S212" s="7">
        <f t="shared" si="246"/>
        <v>18191</v>
      </c>
      <c r="T212" s="7">
        <f t="shared" si="246"/>
        <v>19747</v>
      </c>
      <c r="U212" s="7">
        <f t="shared" si="246"/>
        <v>20056</v>
      </c>
      <c r="V212" s="7">
        <f t="shared" si="246"/>
        <v>22531</v>
      </c>
      <c r="W212" s="7">
        <f t="shared" si="246"/>
        <v>23480</v>
      </c>
      <c r="X212" s="7">
        <f t="shared" si="246"/>
        <v>23944</v>
      </c>
      <c r="Y212" s="7">
        <f t="shared" si="246"/>
        <v>23989</v>
      </c>
      <c r="Z212" s="7">
        <f t="shared" si="246"/>
        <v>24304</v>
      </c>
      <c r="AA212" s="7">
        <f t="shared" si="246"/>
        <v>25748.28</v>
      </c>
      <c r="AB212" s="7">
        <f t="shared" si="246"/>
        <v>25268.98</v>
      </c>
      <c r="AC212" s="7">
        <f t="shared" si="246"/>
        <v>25924.75</v>
      </c>
      <c r="AD212" s="7">
        <f t="shared" si="246"/>
        <v>26309.809999999998</v>
      </c>
      <c r="AE212" s="7">
        <f t="shared" ref="AE212:AF212" si="247">AE194+AE200+AE206</f>
        <v>26812.690999999999</v>
      </c>
      <c r="AF212" s="7">
        <f t="shared" si="247"/>
        <v>26525.707000000002</v>
      </c>
      <c r="AG212" s="7">
        <f t="shared" si="246"/>
        <v>27403.383999999998</v>
      </c>
      <c r="AH212" s="7">
        <f t="shared" ref="AH212:AK212" si="248">AH194+AH200+AH206</f>
        <v>28986.072</v>
      </c>
      <c r="AI212" s="7">
        <f t="shared" ref="AI212:AJ212" si="249">AI194+AI200+AI206</f>
        <v>28456.67</v>
      </c>
      <c r="AJ212" s="7">
        <f t="shared" si="249"/>
        <v>28353</v>
      </c>
      <c r="AK212" s="7">
        <f t="shared" si="248"/>
        <v>24640</v>
      </c>
      <c r="AL212" s="7"/>
    </row>
    <row r="213" spans="1:38">
      <c r="A213" s="70" t="s">
        <v>22</v>
      </c>
      <c r="B213" s="7"/>
      <c r="C213" s="7"/>
      <c r="D213" s="7"/>
      <c r="E213" s="7"/>
      <c r="F213" s="7">
        <f t="shared" si="245"/>
        <v>2429</v>
      </c>
      <c r="G213" s="7">
        <f t="shared" si="245"/>
        <v>2575</v>
      </c>
      <c r="H213" s="7">
        <f t="shared" si="245"/>
        <v>2216</v>
      </c>
      <c r="I213" s="7">
        <f t="shared" si="245"/>
        <v>1924</v>
      </c>
      <c r="J213" s="7">
        <f t="shared" si="245"/>
        <v>1754</v>
      </c>
      <c r="K213" s="7">
        <f t="shared" si="236"/>
        <v>1607</v>
      </c>
      <c r="L213" s="7">
        <f t="shared" si="236"/>
        <v>1438</v>
      </c>
      <c r="M213" s="7">
        <f t="shared" si="236"/>
        <v>1423</v>
      </c>
      <c r="N213" s="7">
        <f t="shared" si="236"/>
        <v>1694</v>
      </c>
      <c r="O213" s="7">
        <f t="shared" ref="O213:AG213" si="250">O195+O201+O207</f>
        <v>1609</v>
      </c>
      <c r="P213" s="7">
        <f t="shared" si="250"/>
        <v>1861</v>
      </c>
      <c r="Q213" s="7">
        <f t="shared" si="250"/>
        <v>1930</v>
      </c>
      <c r="R213" s="7">
        <f t="shared" si="250"/>
        <v>1735</v>
      </c>
      <c r="S213" s="7">
        <f t="shared" si="250"/>
        <v>1929</v>
      </c>
      <c r="T213" s="7">
        <f t="shared" si="250"/>
        <v>1943</v>
      </c>
      <c r="U213" s="7">
        <f t="shared" si="250"/>
        <v>1945</v>
      </c>
      <c r="V213" s="7">
        <f t="shared" si="250"/>
        <v>1864</v>
      </c>
      <c r="W213" s="7">
        <f t="shared" si="250"/>
        <v>1945</v>
      </c>
      <c r="X213" s="7">
        <f t="shared" si="250"/>
        <v>1731</v>
      </c>
      <c r="Y213" s="7">
        <f t="shared" si="250"/>
        <v>1957</v>
      </c>
      <c r="Z213" s="7">
        <f t="shared" si="250"/>
        <v>2485</v>
      </c>
      <c r="AA213" s="7">
        <f t="shared" si="250"/>
        <v>683.9</v>
      </c>
      <c r="AB213" s="7">
        <f t="shared" si="250"/>
        <v>710.17000000000007</v>
      </c>
      <c r="AC213" s="7">
        <f t="shared" si="250"/>
        <v>659.75</v>
      </c>
      <c r="AD213" s="7">
        <f t="shared" si="250"/>
        <v>652.99</v>
      </c>
      <c r="AE213" s="7">
        <f t="shared" ref="AE213:AF213" si="251">AE195+AE201+AE207</f>
        <v>587.50900000000001</v>
      </c>
      <c r="AF213" s="7">
        <f t="shared" si="251"/>
        <v>634.79700000000003</v>
      </c>
      <c r="AG213" s="7">
        <f t="shared" si="250"/>
        <v>650.90300000000002</v>
      </c>
      <c r="AH213" s="7">
        <f t="shared" ref="AH213:AK213" si="252">AH195+AH201+AH207</f>
        <v>574.79399999999998</v>
      </c>
      <c r="AI213" s="7">
        <f t="shared" ref="AI213:AJ213" si="253">AI195+AI201+AI207</f>
        <v>449.65999999999997</v>
      </c>
      <c r="AJ213" s="7">
        <f t="shared" si="253"/>
        <v>513</v>
      </c>
      <c r="AK213" s="7">
        <f t="shared" si="252"/>
        <v>2729</v>
      </c>
      <c r="AL213" s="7"/>
    </row>
    <row r="214" spans="1:38">
      <c r="A214" s="6"/>
      <c r="B214" s="6"/>
      <c r="C214" s="6"/>
      <c r="D214" s="6"/>
      <c r="E214" s="6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</row>
    <row r="215" spans="1:38" ht="13.5" thickBot="1">
      <c r="A215" s="25" t="s">
        <v>12</v>
      </c>
      <c r="B215" s="25"/>
      <c r="C215" s="25"/>
      <c r="D215" s="26"/>
      <c r="E215" s="26"/>
      <c r="F215" s="26" t="s">
        <v>13</v>
      </c>
      <c r="G215" s="26" t="s">
        <v>14</v>
      </c>
      <c r="H215" s="26" t="s">
        <v>15</v>
      </c>
      <c r="I215" s="26" t="s">
        <v>16</v>
      </c>
      <c r="J215" s="26" t="s">
        <v>21</v>
      </c>
      <c r="K215" s="26" t="s">
        <v>23</v>
      </c>
      <c r="L215" s="26" t="s">
        <v>24</v>
      </c>
      <c r="M215" s="26" t="s">
        <v>38</v>
      </c>
      <c r="N215" s="26" t="s">
        <v>44</v>
      </c>
      <c r="O215" s="26" t="s">
        <v>45</v>
      </c>
      <c r="P215" s="26" t="s">
        <v>46</v>
      </c>
      <c r="Q215" s="26" t="s">
        <v>50</v>
      </c>
      <c r="R215" s="27" t="s">
        <v>53</v>
      </c>
      <c r="S215" s="27" t="s">
        <v>55</v>
      </c>
      <c r="T215" s="27" t="s">
        <v>58</v>
      </c>
      <c r="U215" s="27" t="s">
        <v>61</v>
      </c>
      <c r="V215" s="27" t="s">
        <v>63</v>
      </c>
      <c r="W215" s="27" t="s">
        <v>65</v>
      </c>
      <c r="X215" s="27" t="s">
        <v>67</v>
      </c>
      <c r="Y215" s="27" t="s">
        <v>69</v>
      </c>
      <c r="Z215" s="27" t="s">
        <v>71</v>
      </c>
      <c r="AA215" s="27" t="s">
        <v>76</v>
      </c>
      <c r="AB215" s="27" t="s">
        <v>79</v>
      </c>
      <c r="AC215" s="27" t="s">
        <v>107</v>
      </c>
      <c r="AD215" s="27" t="s">
        <v>111</v>
      </c>
      <c r="AE215" s="27" t="s">
        <v>114</v>
      </c>
      <c r="AF215" s="27" t="s">
        <v>136</v>
      </c>
      <c r="AG215" s="27" t="s">
        <v>137</v>
      </c>
      <c r="AH215" s="190" t="s">
        <v>145</v>
      </c>
      <c r="AI215" s="190" t="s">
        <v>148</v>
      </c>
      <c r="AJ215" s="190" t="s">
        <v>150</v>
      </c>
      <c r="AK215" s="190" t="s">
        <v>151</v>
      </c>
      <c r="AL215" s="190"/>
    </row>
    <row r="216" spans="1:38">
      <c r="A216" s="11" t="s">
        <v>48</v>
      </c>
      <c r="B216" s="12"/>
      <c r="C216" s="12"/>
      <c r="D216" s="6"/>
      <c r="E216" s="6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32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</row>
    <row r="217" spans="1:38">
      <c r="A217" s="7" t="s">
        <v>17</v>
      </c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>
        <f t="shared" ref="O217:AH217" si="254">O218+O219+O220</f>
        <v>796</v>
      </c>
      <c r="P217" s="7">
        <f t="shared" si="254"/>
        <v>580</v>
      </c>
      <c r="Q217" s="7">
        <f t="shared" si="254"/>
        <v>622</v>
      </c>
      <c r="R217" s="7">
        <f t="shared" si="254"/>
        <v>761</v>
      </c>
      <c r="S217" s="7">
        <f t="shared" si="254"/>
        <v>438</v>
      </c>
      <c r="T217" s="7">
        <f t="shared" si="254"/>
        <v>835</v>
      </c>
      <c r="U217" s="7">
        <f t="shared" si="254"/>
        <v>768</v>
      </c>
      <c r="V217" s="7">
        <f t="shared" si="254"/>
        <v>726</v>
      </c>
      <c r="W217" s="7">
        <f t="shared" si="254"/>
        <v>930</v>
      </c>
      <c r="X217" s="7">
        <f t="shared" si="254"/>
        <v>1929</v>
      </c>
      <c r="Y217" s="7">
        <f t="shared" si="254"/>
        <v>1395</v>
      </c>
      <c r="Z217" s="7">
        <f t="shared" si="254"/>
        <v>967</v>
      </c>
      <c r="AA217" s="7">
        <f t="shared" si="254"/>
        <v>160</v>
      </c>
      <c r="AB217" s="7">
        <f t="shared" si="254"/>
        <v>166</v>
      </c>
      <c r="AC217" s="7">
        <f t="shared" si="254"/>
        <v>151</v>
      </c>
      <c r="AD217" s="7">
        <f t="shared" si="254"/>
        <v>134</v>
      </c>
      <c r="AE217" s="7">
        <f t="shared" ref="AE217:AF217" si="255">AE218+AE219+AE220</f>
        <v>92</v>
      </c>
      <c r="AF217" s="7">
        <f t="shared" si="255"/>
        <v>100</v>
      </c>
      <c r="AG217" s="7">
        <f t="shared" si="254"/>
        <v>75</v>
      </c>
      <c r="AH217" s="7">
        <f t="shared" si="254"/>
        <v>0</v>
      </c>
      <c r="AI217" s="7">
        <f t="shared" ref="AI217:AK217" si="256">AI218+AI219+AI220</f>
        <v>0</v>
      </c>
      <c r="AJ217" s="7">
        <f t="shared" ref="AJ217" si="257">AJ218+AJ219+AJ220</f>
        <v>0</v>
      </c>
      <c r="AK217" s="7">
        <f t="shared" si="256"/>
        <v>0</v>
      </c>
      <c r="AL217" s="7"/>
    </row>
    <row r="218" spans="1:38">
      <c r="A218" s="6" t="s">
        <v>1</v>
      </c>
      <c r="B218" s="6"/>
      <c r="C218" s="6"/>
      <c r="D218" s="6"/>
      <c r="E218" s="6"/>
      <c r="F218" s="9"/>
      <c r="G218" s="9"/>
      <c r="H218" s="9"/>
      <c r="I218" s="9"/>
      <c r="J218" s="9"/>
      <c r="K218" s="9"/>
      <c r="L218" s="9"/>
      <c r="M218" s="9"/>
      <c r="N218" s="9"/>
      <c r="O218" s="9">
        <v>121</v>
      </c>
      <c r="P218" s="9">
        <v>87</v>
      </c>
      <c r="Q218" s="9">
        <f>42+159</f>
        <v>201</v>
      </c>
      <c r="R218" s="9">
        <v>194</v>
      </c>
      <c r="S218" s="9">
        <f>50+146</f>
        <v>196</v>
      </c>
      <c r="T218" s="9">
        <v>316</v>
      </c>
      <c r="U218" s="9">
        <f>38+223</f>
        <v>261</v>
      </c>
      <c r="V218" s="9">
        <f>40+282</f>
        <v>322</v>
      </c>
      <c r="W218" s="14">
        <f>48+383</f>
        <v>431</v>
      </c>
      <c r="X218" s="14">
        <f>49+414</f>
        <v>463</v>
      </c>
      <c r="Y218" s="14">
        <v>810</v>
      </c>
      <c r="Z218" s="14">
        <v>424</v>
      </c>
      <c r="AA218" s="175">
        <v>94</v>
      </c>
      <c r="AB218" s="175">
        <v>82</v>
      </c>
      <c r="AC218" s="175">
        <v>81</v>
      </c>
      <c r="AD218" s="175">
        <v>72</v>
      </c>
      <c r="AE218" s="175">
        <f t="shared" ref="AE218" si="258">66+0</f>
        <v>66</v>
      </c>
      <c r="AF218" s="175">
        <v>37</v>
      </c>
      <c r="AG218" s="175">
        <v>69</v>
      </c>
      <c r="AH218" s="191">
        <v>0</v>
      </c>
      <c r="AI218" s="191">
        <v>0</v>
      </c>
      <c r="AJ218" s="191">
        <v>0</v>
      </c>
      <c r="AK218" s="191">
        <v>0</v>
      </c>
      <c r="AL218" s="191"/>
    </row>
    <row r="219" spans="1:38">
      <c r="A219" s="6" t="s">
        <v>2</v>
      </c>
      <c r="B219" s="6"/>
      <c r="C219" s="6"/>
      <c r="D219" s="6"/>
      <c r="E219" s="6"/>
      <c r="F219" s="9"/>
      <c r="G219" s="9"/>
      <c r="H219" s="9"/>
      <c r="I219" s="9"/>
      <c r="J219" s="9"/>
      <c r="K219" s="9"/>
      <c r="L219" s="9"/>
      <c r="M219" s="9"/>
      <c r="N219" s="9"/>
      <c r="O219" s="9">
        <v>336</v>
      </c>
      <c r="P219" s="9">
        <v>153</v>
      </c>
      <c r="Q219" s="9">
        <f>0+89</f>
        <v>89</v>
      </c>
      <c r="R219" s="9">
        <v>153</v>
      </c>
      <c r="S219" s="9">
        <v>54</v>
      </c>
      <c r="T219" s="9">
        <v>144</v>
      </c>
      <c r="U219" s="9">
        <v>129</v>
      </c>
      <c r="V219" s="9">
        <v>57</v>
      </c>
      <c r="W219" s="15">
        <v>197</v>
      </c>
      <c r="X219" s="15">
        <v>242</v>
      </c>
      <c r="Y219" s="15">
        <v>304</v>
      </c>
      <c r="Z219" s="15">
        <v>237</v>
      </c>
      <c r="AA219" s="176">
        <v>64</v>
      </c>
      <c r="AB219" s="176">
        <v>84</v>
      </c>
      <c r="AC219" s="176">
        <v>68</v>
      </c>
      <c r="AD219" s="176">
        <v>62</v>
      </c>
      <c r="AE219" s="176">
        <v>26</v>
      </c>
      <c r="AF219" s="176">
        <v>61</v>
      </c>
      <c r="AG219" s="176">
        <v>6</v>
      </c>
      <c r="AH219" s="191">
        <v>0</v>
      </c>
      <c r="AI219" s="191">
        <v>0</v>
      </c>
      <c r="AJ219" s="191">
        <v>0</v>
      </c>
      <c r="AK219" s="191">
        <v>0</v>
      </c>
      <c r="AL219" s="191"/>
    </row>
    <row r="220" spans="1:38">
      <c r="A220" s="6" t="s">
        <v>22</v>
      </c>
      <c r="B220" s="6"/>
      <c r="C220" s="6"/>
      <c r="D220" s="6"/>
      <c r="E220" s="6"/>
      <c r="F220" s="9"/>
      <c r="G220" s="9"/>
      <c r="H220" s="9"/>
      <c r="I220" s="9"/>
      <c r="J220" s="9"/>
      <c r="K220" s="9"/>
      <c r="L220" s="9"/>
      <c r="M220" s="9"/>
      <c r="N220" s="9"/>
      <c r="O220" s="9">
        <v>339</v>
      </c>
      <c r="P220" s="9">
        <v>340</v>
      </c>
      <c r="Q220" s="9">
        <f>0+332</f>
        <v>332</v>
      </c>
      <c r="R220" s="9">
        <v>414</v>
      </c>
      <c r="S220" s="9">
        <v>188</v>
      </c>
      <c r="T220" s="9">
        <v>375</v>
      </c>
      <c r="U220" s="9">
        <v>378</v>
      </c>
      <c r="V220" s="9">
        <v>347</v>
      </c>
      <c r="W220" s="15">
        <v>302</v>
      </c>
      <c r="X220" s="15">
        <v>1224</v>
      </c>
      <c r="Y220" s="15">
        <v>281</v>
      </c>
      <c r="Z220" s="15">
        <v>306</v>
      </c>
      <c r="AA220" s="176">
        <v>2</v>
      </c>
      <c r="AB220" s="176">
        <v>0</v>
      </c>
      <c r="AC220" s="176">
        <v>2</v>
      </c>
      <c r="AD220" s="176">
        <v>0</v>
      </c>
      <c r="AE220" s="176">
        <v>0</v>
      </c>
      <c r="AF220" s="176">
        <v>2</v>
      </c>
      <c r="AG220" s="176">
        <v>0</v>
      </c>
      <c r="AH220" s="191">
        <v>0</v>
      </c>
      <c r="AI220" s="191">
        <v>0</v>
      </c>
      <c r="AJ220" s="191">
        <v>0</v>
      </c>
      <c r="AK220" s="191">
        <v>0</v>
      </c>
      <c r="AL220" s="191"/>
    </row>
    <row r="221" spans="1:38">
      <c r="A221" s="6"/>
      <c r="B221" s="6"/>
      <c r="C221" s="6"/>
      <c r="D221" s="6"/>
      <c r="E221" s="6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</row>
    <row r="222" spans="1:38">
      <c r="A222" s="7" t="s">
        <v>18</v>
      </c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>
        <f t="shared" ref="O222:AH222" si="259">O223+O224+O225</f>
        <v>3806</v>
      </c>
      <c r="P222" s="7">
        <f t="shared" si="259"/>
        <v>3875</v>
      </c>
      <c r="Q222" s="7">
        <f t="shared" si="259"/>
        <v>3512</v>
      </c>
      <c r="R222" s="7">
        <f t="shared" si="259"/>
        <v>4880</v>
      </c>
      <c r="S222" s="7">
        <f t="shared" si="259"/>
        <v>5342</v>
      </c>
      <c r="T222" s="7">
        <f t="shared" si="259"/>
        <v>5507</v>
      </c>
      <c r="U222" s="7">
        <f t="shared" si="259"/>
        <v>5571</v>
      </c>
      <c r="V222" s="7">
        <f t="shared" si="259"/>
        <v>4432</v>
      </c>
      <c r="W222" s="7">
        <f t="shared" si="259"/>
        <v>5290</v>
      </c>
      <c r="X222" s="7">
        <f t="shared" si="259"/>
        <v>5318</v>
      </c>
      <c r="Y222" s="7">
        <f t="shared" si="259"/>
        <v>7873</v>
      </c>
      <c r="Z222" s="7">
        <f t="shared" si="259"/>
        <v>9454</v>
      </c>
      <c r="AA222" s="7">
        <f t="shared" si="259"/>
        <v>4845</v>
      </c>
      <c r="AB222" s="7">
        <f t="shared" si="259"/>
        <v>4662</v>
      </c>
      <c r="AC222" s="7">
        <f t="shared" si="259"/>
        <v>4750</v>
      </c>
      <c r="AD222" s="7">
        <f t="shared" si="259"/>
        <v>4659.75</v>
      </c>
      <c r="AE222" s="7">
        <f t="shared" ref="AE222:AF222" si="260">AE223+AE224+AE225</f>
        <v>4825.5</v>
      </c>
      <c r="AF222" s="7">
        <f t="shared" si="260"/>
        <v>4780</v>
      </c>
      <c r="AG222" s="7">
        <f t="shared" si="259"/>
        <v>4718</v>
      </c>
      <c r="AH222" s="7">
        <f t="shared" si="259"/>
        <v>4970</v>
      </c>
      <c r="AI222" s="7">
        <f t="shared" ref="AI222:AK222" si="261">AI223+AI224+AI225</f>
        <v>5118</v>
      </c>
      <c r="AJ222" s="7">
        <f t="shared" ref="AJ222" si="262">AJ223+AJ224+AJ225</f>
        <v>5420</v>
      </c>
      <c r="AK222" s="198">
        <f t="shared" si="261"/>
        <v>6138</v>
      </c>
      <c r="AL222" s="7"/>
    </row>
    <row r="223" spans="1:38">
      <c r="A223" s="6" t="s">
        <v>1</v>
      </c>
      <c r="B223" s="6"/>
      <c r="C223" s="6"/>
      <c r="D223" s="6"/>
      <c r="E223" s="6"/>
      <c r="F223" s="9"/>
      <c r="G223" s="9"/>
      <c r="H223" s="9"/>
      <c r="I223" s="9"/>
      <c r="J223" s="9"/>
      <c r="K223" s="9"/>
      <c r="L223" s="9"/>
      <c r="M223" s="9"/>
      <c r="N223" s="9"/>
      <c r="O223" s="9">
        <v>2790</v>
      </c>
      <c r="P223" s="9">
        <v>2967</v>
      </c>
      <c r="Q223" s="9">
        <f>1124+1626</f>
        <v>2750</v>
      </c>
      <c r="R223" s="9">
        <f>1601+2198</f>
        <v>3799</v>
      </c>
      <c r="S223" s="9">
        <f>1606+2794</f>
        <v>4400</v>
      </c>
      <c r="T223" s="9">
        <f>1737+2559</f>
        <v>4296</v>
      </c>
      <c r="U223" s="9">
        <f>1813+2624</f>
        <v>4437</v>
      </c>
      <c r="V223" s="9">
        <f>1792+1347</f>
        <v>3139</v>
      </c>
      <c r="W223" s="14">
        <f>1865+1762</f>
        <v>3627</v>
      </c>
      <c r="X223" s="14">
        <f>1885+1697</f>
        <v>3582</v>
      </c>
      <c r="Y223" s="14">
        <v>6282</v>
      </c>
      <c r="Z223" s="14">
        <v>7664</v>
      </c>
      <c r="AA223" s="175">
        <v>4543</v>
      </c>
      <c r="AB223" s="175">
        <f>4115+410</f>
        <v>4525</v>
      </c>
      <c r="AC223" s="175">
        <v>4618</v>
      </c>
      <c r="AD223" s="175">
        <f>433+33.75+4059</f>
        <v>4525.75</v>
      </c>
      <c r="AE223" s="175">
        <f t="shared" ref="AE223" si="263">4102+476+34.5</f>
        <v>4612.5</v>
      </c>
      <c r="AF223" s="175">
        <v>4556</v>
      </c>
      <c r="AG223" s="175">
        <v>4528</v>
      </c>
      <c r="AH223" s="191">
        <v>4746</v>
      </c>
      <c r="AI223" s="191">
        <v>4915</v>
      </c>
      <c r="AJ223" s="191">
        <v>5214</v>
      </c>
      <c r="AK223" s="199">
        <v>5894</v>
      </c>
      <c r="AL223" s="191"/>
    </row>
    <row r="224" spans="1:38">
      <c r="A224" s="6" t="s">
        <v>2</v>
      </c>
      <c r="B224" s="6"/>
      <c r="C224" s="6"/>
      <c r="D224" s="6"/>
      <c r="E224" s="6"/>
      <c r="F224" s="9"/>
      <c r="G224" s="9"/>
      <c r="H224" s="9"/>
      <c r="I224" s="9"/>
      <c r="J224" s="9"/>
      <c r="K224" s="9"/>
      <c r="L224" s="9"/>
      <c r="M224" s="9"/>
      <c r="N224" s="9"/>
      <c r="O224" s="9">
        <v>579</v>
      </c>
      <c r="P224" s="9">
        <v>425</v>
      </c>
      <c r="Q224" s="9">
        <v>341</v>
      </c>
      <c r="R224" s="9">
        <v>526</v>
      </c>
      <c r="S224" s="9">
        <v>536</v>
      </c>
      <c r="T224" s="9">
        <v>600</v>
      </c>
      <c r="U224" s="9">
        <v>585</v>
      </c>
      <c r="V224" s="9">
        <v>546</v>
      </c>
      <c r="W224" s="15">
        <v>895</v>
      </c>
      <c r="X224" s="15">
        <v>970</v>
      </c>
      <c r="Y224" s="15">
        <v>1000</v>
      </c>
      <c r="Z224" s="15">
        <v>1105</v>
      </c>
      <c r="AA224" s="176">
        <v>302</v>
      </c>
      <c r="AB224" s="176">
        <f>137</f>
        <v>137</v>
      </c>
      <c r="AC224" s="176">
        <v>132</v>
      </c>
      <c r="AD224" s="176">
        <f>134</f>
        <v>134</v>
      </c>
      <c r="AE224" s="176">
        <v>213</v>
      </c>
      <c r="AF224" s="176">
        <v>224</v>
      </c>
      <c r="AG224" s="176">
        <v>190</v>
      </c>
      <c r="AH224" s="191">
        <v>224</v>
      </c>
      <c r="AI224" s="191">
        <v>203</v>
      </c>
      <c r="AJ224" s="191">
        <v>206</v>
      </c>
      <c r="AK224" s="199">
        <v>241</v>
      </c>
      <c r="AL224" s="191"/>
    </row>
    <row r="225" spans="1:38">
      <c r="A225" s="6" t="s">
        <v>22</v>
      </c>
      <c r="B225" s="6"/>
      <c r="C225" s="6"/>
      <c r="D225" s="6"/>
      <c r="E225" s="6"/>
      <c r="F225" s="9"/>
      <c r="G225" s="9"/>
      <c r="H225" s="9"/>
      <c r="I225" s="9"/>
      <c r="J225" s="9"/>
      <c r="K225" s="9"/>
      <c r="L225" s="9"/>
      <c r="M225" s="9"/>
      <c r="N225" s="9"/>
      <c r="O225" s="9">
        <v>437</v>
      </c>
      <c r="P225" s="9">
        <v>483</v>
      </c>
      <c r="Q225" s="9">
        <v>421</v>
      </c>
      <c r="R225" s="9">
        <v>555</v>
      </c>
      <c r="S225" s="9">
        <v>406</v>
      </c>
      <c r="T225" s="9">
        <v>611</v>
      </c>
      <c r="U225" s="9">
        <v>549</v>
      </c>
      <c r="V225" s="9">
        <v>747</v>
      </c>
      <c r="W225" s="15">
        <v>768</v>
      </c>
      <c r="X225" s="15">
        <v>766</v>
      </c>
      <c r="Y225" s="15">
        <v>591</v>
      </c>
      <c r="Z225" s="15">
        <v>685</v>
      </c>
      <c r="AA225" s="176">
        <v>0</v>
      </c>
      <c r="AB225" s="176">
        <v>0</v>
      </c>
      <c r="AC225" s="176">
        <v>0</v>
      </c>
      <c r="AD225" s="176">
        <v>0</v>
      </c>
      <c r="AE225" s="176">
        <v>0</v>
      </c>
      <c r="AF225" s="176">
        <v>0</v>
      </c>
      <c r="AG225" s="176">
        <v>0</v>
      </c>
      <c r="AH225" s="191">
        <v>0</v>
      </c>
      <c r="AI225" s="191">
        <v>0</v>
      </c>
      <c r="AJ225" s="191">
        <v>0</v>
      </c>
      <c r="AK225" s="199">
        <v>3</v>
      </c>
      <c r="AL225" s="191"/>
    </row>
    <row r="226" spans="1:38">
      <c r="A226" s="6"/>
      <c r="B226" s="6"/>
      <c r="C226" s="6"/>
      <c r="D226" s="6"/>
      <c r="E226" s="6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</row>
    <row r="227" spans="1:38">
      <c r="A227" s="7" t="s">
        <v>19</v>
      </c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>
        <f t="shared" ref="O227:AH227" si="264">O228+O229+O230</f>
        <v>2482</v>
      </c>
      <c r="P227" s="7">
        <f t="shared" si="264"/>
        <v>2192</v>
      </c>
      <c r="Q227" s="7">
        <f t="shared" si="264"/>
        <v>2735</v>
      </c>
      <c r="R227" s="7">
        <f t="shared" si="264"/>
        <v>3283</v>
      </c>
      <c r="S227" s="7">
        <f t="shared" si="264"/>
        <v>3590</v>
      </c>
      <c r="T227" s="7">
        <f t="shared" si="264"/>
        <v>4717</v>
      </c>
      <c r="U227" s="7">
        <f t="shared" si="264"/>
        <v>4529</v>
      </c>
      <c r="V227" s="7">
        <f t="shared" si="264"/>
        <v>4987</v>
      </c>
      <c r="W227" s="7">
        <f t="shared" si="264"/>
        <v>4908</v>
      </c>
      <c r="X227" s="7">
        <f t="shared" si="264"/>
        <v>6868</v>
      </c>
      <c r="Y227" s="7">
        <f t="shared" si="264"/>
        <v>8621</v>
      </c>
      <c r="Z227" s="7">
        <f t="shared" si="264"/>
        <v>9990</v>
      </c>
      <c r="AA227" s="7">
        <f t="shared" si="264"/>
        <v>3969</v>
      </c>
      <c r="AB227" s="7">
        <f t="shared" si="264"/>
        <v>3845</v>
      </c>
      <c r="AC227" s="7">
        <f t="shared" si="264"/>
        <v>3832</v>
      </c>
      <c r="AD227" s="7">
        <f t="shared" si="264"/>
        <v>3517</v>
      </c>
      <c r="AE227" s="7">
        <f t="shared" ref="AE227:AF227" si="265">AE228+AE229+AE230</f>
        <v>3225</v>
      </c>
      <c r="AF227" s="7">
        <f t="shared" si="265"/>
        <v>2773</v>
      </c>
      <c r="AG227" s="7">
        <f t="shared" si="264"/>
        <v>2182</v>
      </c>
      <c r="AH227" s="7">
        <f t="shared" si="264"/>
        <v>2340</v>
      </c>
      <c r="AI227" s="7">
        <f t="shared" ref="AI227:AK227" si="266">AI228+AI229+AI230</f>
        <v>2259</v>
      </c>
      <c r="AJ227" s="7">
        <f t="shared" ref="AJ227" si="267">AJ228+AJ229+AJ230</f>
        <v>1754</v>
      </c>
      <c r="AK227" s="198">
        <f t="shared" si="266"/>
        <v>2660</v>
      </c>
      <c r="AL227" s="7"/>
    </row>
    <row r="228" spans="1:38">
      <c r="A228" s="6" t="s">
        <v>1</v>
      </c>
      <c r="B228" s="6"/>
      <c r="C228" s="6"/>
      <c r="D228" s="6"/>
      <c r="E228" s="6"/>
      <c r="F228" s="9"/>
      <c r="G228" s="9"/>
      <c r="H228" s="9"/>
      <c r="I228" s="9"/>
      <c r="J228" s="9"/>
      <c r="K228" s="9"/>
      <c r="L228" s="9"/>
      <c r="M228" s="9"/>
      <c r="N228" s="9"/>
      <c r="O228" s="9">
        <v>1933</v>
      </c>
      <c r="P228" s="9">
        <f>1017+462</f>
        <v>1479</v>
      </c>
      <c r="Q228" s="9">
        <v>1945</v>
      </c>
      <c r="R228" s="9">
        <f>995+1348</f>
        <v>2343</v>
      </c>
      <c r="S228" s="9">
        <f>1025+1446</f>
        <v>2471</v>
      </c>
      <c r="T228" s="9">
        <f>1015+1813</f>
        <v>2828</v>
      </c>
      <c r="U228" s="9">
        <f>1185+1844</f>
        <v>3029</v>
      </c>
      <c r="V228" s="9">
        <f>1066+2210</f>
        <v>3276</v>
      </c>
      <c r="W228" s="14">
        <f>1143+1850</f>
        <v>2993</v>
      </c>
      <c r="X228" s="14">
        <f>1258+3311</f>
        <v>4569</v>
      </c>
      <c r="Y228" s="14">
        <v>6408</v>
      </c>
      <c r="Z228" s="14">
        <v>7565</v>
      </c>
      <c r="AA228" s="175">
        <v>3645</v>
      </c>
      <c r="AB228" s="175">
        <v>3651</v>
      </c>
      <c r="AC228" s="175">
        <v>3658</v>
      </c>
      <c r="AD228" s="175">
        <f>2+3359</f>
        <v>3361</v>
      </c>
      <c r="AE228" s="175">
        <v>3178</v>
      </c>
      <c r="AF228" s="175">
        <v>2705</v>
      </c>
      <c r="AG228" s="175">
        <v>2121</v>
      </c>
      <c r="AH228" s="191">
        <v>2263</v>
      </c>
      <c r="AI228" s="191">
        <v>2190</v>
      </c>
      <c r="AJ228" s="191">
        <v>1699</v>
      </c>
      <c r="AK228" s="199">
        <v>2257</v>
      </c>
      <c r="AL228" s="191"/>
    </row>
    <row r="229" spans="1:38">
      <c r="A229" s="6" t="s">
        <v>2</v>
      </c>
      <c r="B229" s="6"/>
      <c r="C229" s="6"/>
      <c r="D229" s="6"/>
      <c r="E229" s="6"/>
      <c r="F229" s="9"/>
      <c r="G229" s="9"/>
      <c r="H229" s="9"/>
      <c r="I229" s="9"/>
      <c r="J229" s="9"/>
      <c r="K229" s="9"/>
      <c r="L229" s="9"/>
      <c r="M229" s="9"/>
      <c r="N229" s="9"/>
      <c r="O229" s="9">
        <v>208</v>
      </c>
      <c r="P229" s="9">
        <f>347</f>
        <v>347</v>
      </c>
      <c r="Q229" s="9">
        <v>438</v>
      </c>
      <c r="R229" s="9">
        <v>508</v>
      </c>
      <c r="S229" s="9">
        <v>719</v>
      </c>
      <c r="T229" s="9">
        <v>1304</v>
      </c>
      <c r="U229" s="9">
        <v>927</v>
      </c>
      <c r="V229" s="9">
        <v>1052</v>
      </c>
      <c r="W229" s="15">
        <v>1232</v>
      </c>
      <c r="X229" s="15">
        <v>1325</v>
      </c>
      <c r="Y229" s="15">
        <v>1448</v>
      </c>
      <c r="Z229" s="15">
        <v>1677</v>
      </c>
      <c r="AA229" s="176">
        <v>324</v>
      </c>
      <c r="AB229" s="176">
        <v>194</v>
      </c>
      <c r="AC229" s="176">
        <v>174</v>
      </c>
      <c r="AD229" s="176">
        <v>156</v>
      </c>
      <c r="AE229" s="176">
        <v>47</v>
      </c>
      <c r="AF229" s="176">
        <v>68</v>
      </c>
      <c r="AG229" s="176">
        <v>61</v>
      </c>
      <c r="AH229" s="191">
        <v>77</v>
      </c>
      <c r="AI229" s="191">
        <v>69</v>
      </c>
      <c r="AJ229" s="191">
        <v>55</v>
      </c>
      <c r="AK229" s="199">
        <v>274</v>
      </c>
      <c r="AL229" s="191"/>
    </row>
    <row r="230" spans="1:38">
      <c r="A230" s="6" t="s">
        <v>22</v>
      </c>
      <c r="B230" s="6"/>
      <c r="C230" s="6"/>
      <c r="D230" s="6"/>
      <c r="E230" s="6"/>
      <c r="F230" s="9"/>
      <c r="G230" s="9"/>
      <c r="H230" s="9"/>
      <c r="I230" s="9"/>
      <c r="J230" s="9"/>
      <c r="K230" s="9"/>
      <c r="L230" s="9"/>
      <c r="M230" s="9"/>
      <c r="N230" s="9"/>
      <c r="O230" s="9">
        <v>341</v>
      </c>
      <c r="P230" s="9">
        <f>366</f>
        <v>366</v>
      </c>
      <c r="Q230" s="9">
        <v>352</v>
      </c>
      <c r="R230" s="9">
        <v>432</v>
      </c>
      <c r="S230" s="9">
        <v>400</v>
      </c>
      <c r="T230" s="9">
        <v>585</v>
      </c>
      <c r="U230" s="9">
        <v>573</v>
      </c>
      <c r="V230" s="9">
        <v>659</v>
      </c>
      <c r="W230" s="15">
        <v>683</v>
      </c>
      <c r="X230" s="15">
        <v>974</v>
      </c>
      <c r="Y230" s="15">
        <v>765</v>
      </c>
      <c r="Z230" s="15">
        <v>748</v>
      </c>
      <c r="AA230" s="176">
        <v>0</v>
      </c>
      <c r="AB230" s="176">
        <v>0</v>
      </c>
      <c r="AC230" s="176">
        <v>0</v>
      </c>
      <c r="AD230" s="176">
        <v>0</v>
      </c>
      <c r="AE230" s="176">
        <v>0</v>
      </c>
      <c r="AF230" s="176">
        <v>0</v>
      </c>
      <c r="AG230" s="176">
        <v>0</v>
      </c>
      <c r="AH230" s="191">
        <v>0</v>
      </c>
      <c r="AI230" s="191">
        <v>0</v>
      </c>
      <c r="AJ230" s="191">
        <v>0</v>
      </c>
      <c r="AK230" s="199">
        <v>129</v>
      </c>
      <c r="AL230" s="191"/>
    </row>
    <row r="231" spans="1:38">
      <c r="A231" s="11"/>
      <c r="B231" s="12"/>
      <c r="C231" s="12"/>
      <c r="D231" s="6"/>
      <c r="E231" s="6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</row>
    <row r="232" spans="1:38">
      <c r="A232" s="7" t="s">
        <v>20</v>
      </c>
      <c r="B232" s="7"/>
      <c r="C232" s="7"/>
      <c r="D232" s="7"/>
      <c r="E232" s="7"/>
      <c r="F232" s="7">
        <f t="shared" ref="F232:AG232" si="268">SUM(F233:F235)</f>
        <v>6650</v>
      </c>
      <c r="G232" s="7">
        <f t="shared" si="268"/>
        <v>4902</v>
      </c>
      <c r="H232" s="7">
        <f t="shared" si="268"/>
        <v>4917</v>
      </c>
      <c r="I232" s="7">
        <f t="shared" si="268"/>
        <v>5084</v>
      </c>
      <c r="J232" s="7">
        <f t="shared" si="268"/>
        <v>5792</v>
      </c>
      <c r="K232" s="7">
        <f t="shared" si="268"/>
        <v>5598</v>
      </c>
      <c r="L232" s="7">
        <f t="shared" si="268"/>
        <v>6737</v>
      </c>
      <c r="M232" s="7">
        <f t="shared" si="268"/>
        <v>7009</v>
      </c>
      <c r="N232" s="7">
        <f t="shared" si="268"/>
        <v>7351</v>
      </c>
      <c r="O232" s="7">
        <f t="shared" si="268"/>
        <v>7084</v>
      </c>
      <c r="P232" s="7">
        <f t="shared" si="268"/>
        <v>6647</v>
      </c>
      <c r="Q232" s="7">
        <f t="shared" si="268"/>
        <v>6869</v>
      </c>
      <c r="R232" s="7">
        <f t="shared" si="268"/>
        <v>8924</v>
      </c>
      <c r="S232" s="7">
        <f t="shared" si="268"/>
        <v>9370</v>
      </c>
      <c r="T232" s="7">
        <f t="shared" si="268"/>
        <v>11059</v>
      </c>
      <c r="U232" s="7">
        <f t="shared" si="268"/>
        <v>10868</v>
      </c>
      <c r="V232" s="7">
        <f t="shared" si="268"/>
        <v>10145</v>
      </c>
      <c r="W232" s="7">
        <f t="shared" si="268"/>
        <v>11128</v>
      </c>
      <c r="X232" s="7">
        <f t="shared" si="268"/>
        <v>14115</v>
      </c>
      <c r="Y232" s="7">
        <f t="shared" si="268"/>
        <v>17889</v>
      </c>
      <c r="Z232" s="7">
        <f t="shared" si="268"/>
        <v>20411</v>
      </c>
      <c r="AA232" s="7">
        <f t="shared" si="268"/>
        <v>8974</v>
      </c>
      <c r="AB232" s="7">
        <f t="shared" si="268"/>
        <v>8673</v>
      </c>
      <c r="AC232" s="7">
        <f t="shared" si="268"/>
        <v>8733</v>
      </c>
      <c r="AD232" s="7">
        <f t="shared" si="268"/>
        <v>8310.75</v>
      </c>
      <c r="AE232" s="7">
        <f t="shared" ref="AE232:AF232" si="269">SUM(AE233:AE235)</f>
        <v>8142.5</v>
      </c>
      <c r="AF232" s="7">
        <f t="shared" si="269"/>
        <v>7653</v>
      </c>
      <c r="AG232" s="7">
        <f t="shared" si="268"/>
        <v>6975</v>
      </c>
      <c r="AH232" s="7">
        <f t="shared" ref="AH232:AK232" si="270">SUM(AH233:AH235)</f>
        <v>7310</v>
      </c>
      <c r="AI232" s="7">
        <f t="shared" ref="AI232:AJ232" si="271">SUM(AI233:AI235)</f>
        <v>7377</v>
      </c>
      <c r="AJ232" s="7">
        <f t="shared" si="271"/>
        <v>7174</v>
      </c>
      <c r="AK232" s="7">
        <f t="shared" si="270"/>
        <v>8798</v>
      </c>
      <c r="AL232" s="7"/>
    </row>
    <row r="233" spans="1:38">
      <c r="A233" s="7" t="s">
        <v>1</v>
      </c>
      <c r="B233" s="7"/>
      <c r="C233" s="7"/>
      <c r="D233" s="7"/>
      <c r="E233" s="7"/>
      <c r="F233" s="7">
        <v>5400</v>
      </c>
      <c r="G233" s="7">
        <v>4099</v>
      </c>
      <c r="H233" s="7">
        <v>3954</v>
      </c>
      <c r="I233" s="7">
        <v>3960</v>
      </c>
      <c r="J233" s="7">
        <v>3612</v>
      </c>
      <c r="K233" s="7">
        <v>3957</v>
      </c>
      <c r="L233" s="7">
        <f>162+2528+2211</f>
        <v>4901</v>
      </c>
      <c r="M233" s="7">
        <f>63+2985+1916</f>
        <v>4964</v>
      </c>
      <c r="N233" s="7">
        <v>5473</v>
      </c>
      <c r="O233" s="7">
        <f t="shared" ref="O233:AG233" si="272">O218+O223+O228</f>
        <v>4844</v>
      </c>
      <c r="P233" s="7">
        <f t="shared" si="272"/>
        <v>4533</v>
      </c>
      <c r="Q233" s="7">
        <f t="shared" si="272"/>
        <v>4896</v>
      </c>
      <c r="R233" s="7">
        <f t="shared" si="272"/>
        <v>6336</v>
      </c>
      <c r="S233" s="7">
        <f t="shared" si="272"/>
        <v>7067</v>
      </c>
      <c r="T233" s="7">
        <f t="shared" si="272"/>
        <v>7440</v>
      </c>
      <c r="U233" s="7">
        <f t="shared" si="272"/>
        <v>7727</v>
      </c>
      <c r="V233" s="7">
        <f t="shared" si="272"/>
        <v>6737</v>
      </c>
      <c r="W233" s="7">
        <f t="shared" si="272"/>
        <v>7051</v>
      </c>
      <c r="X233" s="7">
        <f t="shared" si="272"/>
        <v>8614</v>
      </c>
      <c r="Y233" s="7">
        <f t="shared" si="272"/>
        <v>13500</v>
      </c>
      <c r="Z233" s="7">
        <f t="shared" si="272"/>
        <v>15653</v>
      </c>
      <c r="AA233" s="7">
        <f t="shared" si="272"/>
        <v>8282</v>
      </c>
      <c r="AB233" s="7">
        <f t="shared" si="272"/>
        <v>8258</v>
      </c>
      <c r="AC233" s="7">
        <f t="shared" si="272"/>
        <v>8357</v>
      </c>
      <c r="AD233" s="7">
        <f t="shared" si="272"/>
        <v>7958.75</v>
      </c>
      <c r="AE233" s="7">
        <f t="shared" ref="AE233:AF233" si="273">AE218+AE223+AE228</f>
        <v>7856.5</v>
      </c>
      <c r="AF233" s="7">
        <f t="shared" si="273"/>
        <v>7298</v>
      </c>
      <c r="AG233" s="7">
        <f t="shared" si="272"/>
        <v>6718</v>
      </c>
      <c r="AH233" s="7">
        <f t="shared" ref="AH233:AK233" si="274">AH218+AH223+AH228</f>
        <v>7009</v>
      </c>
      <c r="AI233" s="7">
        <f t="shared" ref="AI233:AJ233" si="275">AI218+AI223+AI228</f>
        <v>7105</v>
      </c>
      <c r="AJ233" s="7">
        <f t="shared" si="275"/>
        <v>6913</v>
      </c>
      <c r="AK233" s="7">
        <f t="shared" si="274"/>
        <v>8151</v>
      </c>
      <c r="AL233" s="7"/>
    </row>
    <row r="234" spans="1:38">
      <c r="A234" s="7" t="s">
        <v>2</v>
      </c>
      <c r="B234" s="7"/>
      <c r="C234" s="7"/>
      <c r="D234" s="7"/>
      <c r="E234" s="7"/>
      <c r="F234" s="7">
        <v>847</v>
      </c>
      <c r="G234" s="7">
        <v>491</v>
      </c>
      <c r="H234" s="7">
        <v>483</v>
      </c>
      <c r="I234" s="7">
        <v>555</v>
      </c>
      <c r="J234" s="7">
        <v>1518</v>
      </c>
      <c r="K234" s="7">
        <v>926</v>
      </c>
      <c r="L234" s="7">
        <f>234+724+240</f>
        <v>1198</v>
      </c>
      <c r="M234" s="7">
        <f>185+531+608</f>
        <v>1324</v>
      </c>
      <c r="N234" s="7">
        <v>928</v>
      </c>
      <c r="O234" s="7">
        <f t="shared" ref="O234:AG234" si="276">O219+O224+O229</f>
        <v>1123</v>
      </c>
      <c r="P234" s="7">
        <f t="shared" si="276"/>
        <v>925</v>
      </c>
      <c r="Q234" s="7">
        <f t="shared" si="276"/>
        <v>868</v>
      </c>
      <c r="R234" s="7">
        <f t="shared" si="276"/>
        <v>1187</v>
      </c>
      <c r="S234" s="7">
        <f t="shared" si="276"/>
        <v>1309</v>
      </c>
      <c r="T234" s="7">
        <f t="shared" si="276"/>
        <v>2048</v>
      </c>
      <c r="U234" s="7">
        <f t="shared" si="276"/>
        <v>1641</v>
      </c>
      <c r="V234" s="7">
        <f t="shared" si="276"/>
        <v>1655</v>
      </c>
      <c r="W234" s="7">
        <f t="shared" si="276"/>
        <v>2324</v>
      </c>
      <c r="X234" s="7">
        <f t="shared" si="276"/>
        <v>2537</v>
      </c>
      <c r="Y234" s="7">
        <f t="shared" si="276"/>
        <v>2752</v>
      </c>
      <c r="Z234" s="7">
        <f t="shared" si="276"/>
        <v>3019</v>
      </c>
      <c r="AA234" s="7">
        <f t="shared" si="276"/>
        <v>690</v>
      </c>
      <c r="AB234" s="7">
        <f t="shared" si="276"/>
        <v>415</v>
      </c>
      <c r="AC234" s="7">
        <f t="shared" si="276"/>
        <v>374</v>
      </c>
      <c r="AD234" s="7">
        <f t="shared" si="276"/>
        <v>352</v>
      </c>
      <c r="AE234" s="7">
        <f t="shared" ref="AE234:AF234" si="277">AE219+AE224+AE229</f>
        <v>286</v>
      </c>
      <c r="AF234" s="7">
        <f t="shared" si="277"/>
        <v>353</v>
      </c>
      <c r="AG234" s="7">
        <f t="shared" si="276"/>
        <v>257</v>
      </c>
      <c r="AH234" s="7">
        <f t="shared" ref="AH234:AK234" si="278">AH219+AH224+AH229</f>
        <v>301</v>
      </c>
      <c r="AI234" s="7">
        <f t="shared" ref="AI234:AJ234" si="279">AI219+AI224+AI229</f>
        <v>272</v>
      </c>
      <c r="AJ234" s="7">
        <f t="shared" si="279"/>
        <v>261</v>
      </c>
      <c r="AK234" s="7">
        <f t="shared" si="278"/>
        <v>515</v>
      </c>
      <c r="AL234" s="7"/>
    </row>
    <row r="235" spans="1:38">
      <c r="A235" s="7" t="s">
        <v>22</v>
      </c>
      <c r="B235" s="7"/>
      <c r="C235" s="7"/>
      <c r="D235" s="7"/>
      <c r="E235" s="7"/>
      <c r="F235" s="7">
        <v>403</v>
      </c>
      <c r="G235" s="7">
        <v>312</v>
      </c>
      <c r="H235" s="7">
        <v>480</v>
      </c>
      <c r="I235" s="7">
        <v>569</v>
      </c>
      <c r="J235" s="7">
        <v>662</v>
      </c>
      <c r="K235" s="7">
        <v>715</v>
      </c>
      <c r="L235" s="7">
        <f>160+279+199</f>
        <v>638</v>
      </c>
      <c r="M235" s="7">
        <f>163+273+285</f>
        <v>721</v>
      </c>
      <c r="N235" s="7">
        <v>950</v>
      </c>
      <c r="O235" s="7">
        <f t="shared" ref="O235:AG235" si="280">O220+O225+O230</f>
        <v>1117</v>
      </c>
      <c r="P235" s="7">
        <f t="shared" si="280"/>
        <v>1189</v>
      </c>
      <c r="Q235" s="7">
        <f t="shared" si="280"/>
        <v>1105</v>
      </c>
      <c r="R235" s="7">
        <f t="shared" si="280"/>
        <v>1401</v>
      </c>
      <c r="S235" s="7">
        <f t="shared" si="280"/>
        <v>994</v>
      </c>
      <c r="T235" s="7">
        <f t="shared" si="280"/>
        <v>1571</v>
      </c>
      <c r="U235" s="7">
        <f t="shared" si="280"/>
        <v>1500</v>
      </c>
      <c r="V235" s="7">
        <f t="shared" si="280"/>
        <v>1753</v>
      </c>
      <c r="W235" s="7">
        <f t="shared" si="280"/>
        <v>1753</v>
      </c>
      <c r="X235" s="7">
        <f t="shared" si="280"/>
        <v>2964</v>
      </c>
      <c r="Y235" s="7">
        <f t="shared" si="280"/>
        <v>1637</v>
      </c>
      <c r="Z235" s="7">
        <f t="shared" si="280"/>
        <v>1739</v>
      </c>
      <c r="AA235" s="7">
        <f t="shared" si="280"/>
        <v>2</v>
      </c>
      <c r="AB235" s="7">
        <f t="shared" si="280"/>
        <v>0</v>
      </c>
      <c r="AC235" s="7">
        <f t="shared" si="280"/>
        <v>2</v>
      </c>
      <c r="AD235" s="7">
        <f t="shared" si="280"/>
        <v>0</v>
      </c>
      <c r="AE235" s="7">
        <f t="shared" ref="AE235:AF235" si="281">AE220+AE225+AE230</f>
        <v>0</v>
      </c>
      <c r="AF235" s="7">
        <f t="shared" si="281"/>
        <v>2</v>
      </c>
      <c r="AG235" s="7">
        <f t="shared" si="280"/>
        <v>0</v>
      </c>
      <c r="AH235" s="7">
        <f t="shared" ref="AH235:AK235" si="282">AH220+AH225+AH230</f>
        <v>0</v>
      </c>
      <c r="AI235" s="7">
        <f t="shared" ref="AI235:AJ235" si="283">AI220+AI225+AI230</f>
        <v>0</v>
      </c>
      <c r="AJ235" s="7">
        <f t="shared" si="283"/>
        <v>0</v>
      </c>
      <c r="AK235" s="7">
        <f t="shared" si="282"/>
        <v>132</v>
      </c>
      <c r="AL235" s="7"/>
    </row>
    <row r="236" spans="1:38">
      <c r="A236" s="6"/>
      <c r="B236" s="6"/>
      <c r="C236" s="6"/>
      <c r="D236" s="6"/>
      <c r="E236" s="6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</row>
    <row r="237" spans="1:38">
      <c r="A237" s="6"/>
      <c r="B237" s="6"/>
      <c r="C237" s="6"/>
      <c r="D237" s="6"/>
      <c r="E237" s="6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</row>
    <row r="238" spans="1:38">
      <c r="A238" s="7" t="s">
        <v>41</v>
      </c>
      <c r="B238" s="7"/>
      <c r="C238" s="7"/>
      <c r="D238" s="7"/>
      <c r="E238" s="7"/>
      <c r="F238" s="7">
        <f t="shared" ref="F238:AG238" si="284">SUM(F239:F242)</f>
        <v>681051</v>
      </c>
      <c r="G238" s="7">
        <f t="shared" si="284"/>
        <v>666258</v>
      </c>
      <c r="H238" s="7">
        <f t="shared" si="284"/>
        <v>663397</v>
      </c>
      <c r="I238" s="7">
        <f t="shared" si="284"/>
        <v>668412</v>
      </c>
      <c r="J238" s="7">
        <f t="shared" si="284"/>
        <v>684950</v>
      </c>
      <c r="K238" s="7">
        <f t="shared" si="284"/>
        <v>686420</v>
      </c>
      <c r="L238" s="7">
        <f t="shared" si="284"/>
        <v>698976</v>
      </c>
      <c r="M238" s="7">
        <f t="shared" si="284"/>
        <v>718643</v>
      </c>
      <c r="N238" s="7">
        <f t="shared" si="284"/>
        <v>753635</v>
      </c>
      <c r="O238" s="7">
        <f t="shared" si="284"/>
        <v>756773</v>
      </c>
      <c r="P238" s="7">
        <f t="shared" si="284"/>
        <v>740420</v>
      </c>
      <c r="Q238" s="7">
        <f t="shared" si="284"/>
        <v>714760</v>
      </c>
      <c r="R238" s="7">
        <f t="shared" si="284"/>
        <v>693884</v>
      </c>
      <c r="S238" s="7">
        <f t="shared" si="284"/>
        <v>679470</v>
      </c>
      <c r="T238" s="7">
        <f t="shared" si="284"/>
        <v>701610</v>
      </c>
      <c r="U238" s="7">
        <f t="shared" si="284"/>
        <v>729412</v>
      </c>
      <c r="V238" s="7">
        <f t="shared" si="284"/>
        <v>765855</v>
      </c>
      <c r="W238" s="7">
        <f t="shared" si="284"/>
        <v>785183</v>
      </c>
      <c r="X238" s="7">
        <f t="shared" si="284"/>
        <v>824654</v>
      </c>
      <c r="Y238" s="7">
        <f t="shared" si="284"/>
        <v>864310</v>
      </c>
      <c r="Z238" s="7">
        <f t="shared" si="284"/>
        <v>921735</v>
      </c>
      <c r="AA238" s="7">
        <f t="shared" si="284"/>
        <v>962984.28999999992</v>
      </c>
      <c r="AB238" s="7">
        <f t="shared" si="284"/>
        <v>993077.82999999984</v>
      </c>
      <c r="AC238" s="7">
        <f t="shared" si="284"/>
        <v>1004138.8700000001</v>
      </c>
      <c r="AD238" s="7">
        <f t="shared" si="284"/>
        <v>988205.45000000007</v>
      </c>
      <c r="AE238" s="7">
        <f t="shared" ref="AE238:AF238" si="285">SUM(AE239:AE242)</f>
        <v>965037.69999999984</v>
      </c>
      <c r="AF238" s="7">
        <f t="shared" si="285"/>
        <v>920134.03799999994</v>
      </c>
      <c r="AG238" s="7">
        <f t="shared" si="284"/>
        <v>888915.37300000002</v>
      </c>
      <c r="AH238" s="7">
        <f t="shared" ref="AH238:AK238" si="286">SUM(AH239:AH242)</f>
        <v>837876.80800000008</v>
      </c>
      <c r="AI238" s="7">
        <f t="shared" ref="AI238:AJ238" si="287">SUM(AI239:AI242)</f>
        <v>822916.10000000009</v>
      </c>
      <c r="AJ238" s="7">
        <f t="shared" si="287"/>
        <v>834609</v>
      </c>
      <c r="AK238" s="7">
        <f t="shared" si="286"/>
        <v>840991</v>
      </c>
      <c r="AL238" s="7"/>
    </row>
    <row r="239" spans="1:38">
      <c r="A239" s="7" t="s">
        <v>1</v>
      </c>
      <c r="B239" s="7"/>
      <c r="C239" s="7"/>
      <c r="D239" s="7"/>
      <c r="E239" s="7"/>
      <c r="F239" s="7">
        <f t="shared" ref="F239:J240" si="288">F22+F45+F67+F89+F114+F137+F184+F233</f>
        <v>357571</v>
      </c>
      <c r="G239" s="7">
        <f t="shared" si="288"/>
        <v>347083</v>
      </c>
      <c r="H239" s="7">
        <f t="shared" si="288"/>
        <v>346880</v>
      </c>
      <c r="I239" s="7">
        <f t="shared" si="288"/>
        <v>349988</v>
      </c>
      <c r="J239" s="7">
        <f t="shared" si="288"/>
        <v>361153</v>
      </c>
      <c r="K239" s="7">
        <f t="shared" ref="K239:Q240" si="289">K22+K45+K67+K89+K114+K137+K184+K210+K233</f>
        <v>362460</v>
      </c>
      <c r="L239" s="7">
        <f t="shared" si="289"/>
        <v>370362</v>
      </c>
      <c r="M239" s="7">
        <f t="shared" si="289"/>
        <v>384127</v>
      </c>
      <c r="N239" s="7">
        <f t="shared" si="289"/>
        <v>402370</v>
      </c>
      <c r="O239" s="7">
        <f t="shared" si="289"/>
        <v>399067</v>
      </c>
      <c r="P239" s="7">
        <f t="shared" si="289"/>
        <v>372661</v>
      </c>
      <c r="Q239" s="7">
        <f t="shared" si="289"/>
        <v>353578</v>
      </c>
      <c r="R239" s="7">
        <f t="shared" ref="R239:AD239" si="290">R22+R45+R67+R89+R114+R137+R184+R210+R233+R159</f>
        <v>342913</v>
      </c>
      <c r="S239" s="7">
        <f t="shared" si="290"/>
        <v>341579</v>
      </c>
      <c r="T239" s="7">
        <f t="shared" si="290"/>
        <v>357221</v>
      </c>
      <c r="U239" s="7">
        <f t="shared" si="290"/>
        <v>378681</v>
      </c>
      <c r="V239" s="7">
        <f t="shared" si="290"/>
        <v>392835</v>
      </c>
      <c r="W239" s="7">
        <f t="shared" si="290"/>
        <v>401307</v>
      </c>
      <c r="X239" s="7">
        <f t="shared" si="290"/>
        <v>426002</v>
      </c>
      <c r="Y239" s="7">
        <f t="shared" si="290"/>
        <v>453376</v>
      </c>
      <c r="Z239" s="7">
        <f t="shared" si="290"/>
        <v>490161</v>
      </c>
      <c r="AA239" s="7">
        <f t="shared" si="290"/>
        <v>508499.94</v>
      </c>
      <c r="AB239" s="7">
        <f t="shared" si="290"/>
        <v>518002.97</v>
      </c>
      <c r="AC239" s="7">
        <f t="shared" si="290"/>
        <v>514874.54</v>
      </c>
      <c r="AD239" s="7">
        <f t="shared" si="290"/>
        <v>494249.44</v>
      </c>
      <c r="AE239" s="7">
        <f t="shared" ref="AE239:AF239" si="291">AE22+AE45+AE67+AE114+AE137+AE184+AE210+AE233+AE159</f>
        <v>476343.34599999996</v>
      </c>
      <c r="AF239" s="7">
        <f t="shared" si="291"/>
        <v>450307.96</v>
      </c>
      <c r="AG239" s="7">
        <f>AG22+AG45+AG67+AG114+AG137+AG184+AG210+AG233+AG159</f>
        <v>420750.26199999999</v>
      </c>
      <c r="AH239" s="7">
        <f>AH22+AH45+AH67+AH114+AH137+AH184+AH210+AH233+AH159</f>
        <v>394724.81900000002</v>
      </c>
      <c r="AI239" s="7">
        <f>AI22+AI45+AI67+AI114+AI137+AI184+AI210+AI233+AI159</f>
        <v>396437.6</v>
      </c>
      <c r="AJ239" s="7">
        <f>AJ22+AJ45+AJ67+AJ114+AJ137+AJ184+AJ210+AJ233+AJ159</f>
        <v>402495</v>
      </c>
      <c r="AK239" s="7">
        <f>AK22+AK45+AK67+AK114+AK137+AK184+AK210+AK233+AK159</f>
        <v>400648</v>
      </c>
      <c r="AL239" s="7"/>
    </row>
    <row r="240" spans="1:38">
      <c r="A240" s="7" t="s">
        <v>2</v>
      </c>
      <c r="B240" s="7"/>
      <c r="C240" s="7"/>
      <c r="D240" s="7"/>
      <c r="E240" s="7"/>
      <c r="F240" s="7">
        <f t="shared" si="288"/>
        <v>238842</v>
      </c>
      <c r="G240" s="7">
        <f t="shared" si="288"/>
        <v>233968</v>
      </c>
      <c r="H240" s="7">
        <f t="shared" si="288"/>
        <v>233119</v>
      </c>
      <c r="I240" s="7">
        <f t="shared" si="288"/>
        <v>234690</v>
      </c>
      <c r="J240" s="7">
        <f t="shared" si="288"/>
        <v>240890</v>
      </c>
      <c r="K240" s="7">
        <f t="shared" si="289"/>
        <v>244709</v>
      </c>
      <c r="L240" s="7">
        <f t="shared" si="289"/>
        <v>248659</v>
      </c>
      <c r="M240" s="7">
        <f t="shared" si="289"/>
        <v>254136</v>
      </c>
      <c r="N240" s="7">
        <f t="shared" si="289"/>
        <v>269445</v>
      </c>
      <c r="O240" s="7">
        <f t="shared" si="289"/>
        <v>272251</v>
      </c>
      <c r="P240" s="7">
        <f t="shared" si="289"/>
        <v>278629</v>
      </c>
      <c r="Q240" s="7">
        <f t="shared" si="289"/>
        <v>273415</v>
      </c>
      <c r="R240" s="7">
        <f t="shared" ref="R240:AF240" si="292">R23+R46+R68+R90+R115+R138+R185+R211+R234+R160</f>
        <v>264079</v>
      </c>
      <c r="S240" s="7">
        <f t="shared" si="292"/>
        <v>251217</v>
      </c>
      <c r="T240" s="7">
        <f t="shared" si="292"/>
        <v>252191</v>
      </c>
      <c r="U240" s="7">
        <f t="shared" si="292"/>
        <v>255988</v>
      </c>
      <c r="V240" s="7">
        <f t="shared" si="292"/>
        <v>271119</v>
      </c>
      <c r="W240" s="7">
        <f t="shared" si="292"/>
        <v>279727</v>
      </c>
      <c r="X240" s="7">
        <f t="shared" si="292"/>
        <v>297839</v>
      </c>
      <c r="Y240" s="7">
        <f t="shared" si="292"/>
        <v>308772</v>
      </c>
      <c r="Z240" s="7">
        <f t="shared" si="292"/>
        <v>326074</v>
      </c>
      <c r="AA240" s="7">
        <f t="shared" si="292"/>
        <v>345934.77</v>
      </c>
      <c r="AB240" s="7">
        <f t="shared" si="292"/>
        <v>364544.85999999993</v>
      </c>
      <c r="AC240" s="7">
        <f t="shared" si="292"/>
        <v>380836.99</v>
      </c>
      <c r="AD240" s="7">
        <f t="shared" si="292"/>
        <v>386939.66000000003</v>
      </c>
      <c r="AE240" s="7">
        <f t="shared" si="292"/>
        <v>384386.46600000001</v>
      </c>
      <c r="AF240" s="7">
        <f t="shared" si="292"/>
        <v>370542.26399999997</v>
      </c>
      <c r="AG240" s="7">
        <f>AG23+AG46+AG68+AG90+AG115+AG138+AG185+AG211+AG234+AG160</f>
        <v>368737.81099999999</v>
      </c>
      <c r="AH240" s="7">
        <f>AH23+AH46+AH68+AH90+AH115+AH138+AH185+AH211+AH234+AH160</f>
        <v>344749.22900000005</v>
      </c>
      <c r="AI240" s="7">
        <f>AI23+AI46+AI68+AI90+AI115+AI138+AI185+AI211+AI234+AI160</f>
        <v>330278.00000000006</v>
      </c>
      <c r="AJ240" s="7">
        <f>AJ23+AJ46+AJ68+AJ90+AJ115+AJ138+AJ185+AJ211+AJ234+AJ160</f>
        <v>332598</v>
      </c>
      <c r="AK240" s="7">
        <f>AK23+AK46+AK68+AK90+AK115+AK138+AK185+AK211+AK234+AK160</f>
        <v>341428</v>
      </c>
      <c r="AL240" s="7"/>
    </row>
    <row r="241" spans="1:38">
      <c r="A241" s="7" t="s">
        <v>11</v>
      </c>
      <c r="B241" s="7"/>
      <c r="C241" s="7"/>
      <c r="D241" s="7"/>
      <c r="E241" s="7"/>
      <c r="F241" s="7">
        <f t="shared" ref="F241:Z241" si="293">F212</f>
        <v>14548</v>
      </c>
      <c r="G241" s="7">
        <f t="shared" si="293"/>
        <v>15281</v>
      </c>
      <c r="H241" s="7">
        <f t="shared" si="293"/>
        <v>16109</v>
      </c>
      <c r="I241" s="7">
        <f t="shared" si="293"/>
        <v>16084</v>
      </c>
      <c r="J241" s="7">
        <f t="shared" si="293"/>
        <v>16985</v>
      </c>
      <c r="K241" s="7">
        <f t="shared" si="293"/>
        <v>16065</v>
      </c>
      <c r="L241" s="7">
        <f t="shared" si="293"/>
        <v>16262</v>
      </c>
      <c r="M241" s="7">
        <f t="shared" si="293"/>
        <v>16176</v>
      </c>
      <c r="N241" s="7">
        <f t="shared" si="293"/>
        <v>16692</v>
      </c>
      <c r="O241" s="7">
        <f t="shared" si="293"/>
        <v>16468</v>
      </c>
      <c r="P241" s="7">
        <f t="shared" si="293"/>
        <v>16696</v>
      </c>
      <c r="Q241" s="7">
        <f t="shared" si="293"/>
        <v>16837</v>
      </c>
      <c r="R241" s="7">
        <f t="shared" si="293"/>
        <v>17901</v>
      </c>
      <c r="S241" s="7">
        <f t="shared" si="293"/>
        <v>18191</v>
      </c>
      <c r="T241" s="7">
        <f t="shared" si="293"/>
        <v>19747</v>
      </c>
      <c r="U241" s="7">
        <f t="shared" si="293"/>
        <v>20056</v>
      </c>
      <c r="V241" s="7">
        <f t="shared" si="293"/>
        <v>22531</v>
      </c>
      <c r="W241" s="7">
        <f t="shared" si="293"/>
        <v>23480</v>
      </c>
      <c r="X241" s="7">
        <f t="shared" si="293"/>
        <v>23944</v>
      </c>
      <c r="Y241" s="7">
        <f t="shared" si="293"/>
        <v>23989</v>
      </c>
      <c r="Z241" s="7">
        <f t="shared" si="293"/>
        <v>24304</v>
      </c>
      <c r="AA241" s="7">
        <f>AA212+AA186+AA116+AA24</f>
        <v>25798.359999999997</v>
      </c>
      <c r="AB241" s="7">
        <f>AB212+AB186+AB116+AB24</f>
        <v>25356.61</v>
      </c>
      <c r="AC241" s="7">
        <f>AC212+AC186+AC116+AC24</f>
        <v>25995.17</v>
      </c>
      <c r="AD241" s="7">
        <f>AD212+AD186+AD116+AD24</f>
        <v>26429.87</v>
      </c>
      <c r="AE241" s="7">
        <f t="shared" ref="AE241:AF241" si="294">AE212+AE186+AE116+AE24</f>
        <v>26881.150999999998</v>
      </c>
      <c r="AF241" s="7">
        <f t="shared" si="294"/>
        <v>26615.877000000004</v>
      </c>
      <c r="AG241" s="7">
        <f>AG212+AG186+AG116+AG24</f>
        <v>27421.833999999999</v>
      </c>
      <c r="AH241" s="7">
        <f>AH212+AH186+AH116+AH24</f>
        <v>29047.772000000001</v>
      </c>
      <c r="AI241" s="7">
        <f>AI212+AI186+AI116+AI24</f>
        <v>28492.37</v>
      </c>
      <c r="AJ241" s="7">
        <f>AJ212+AJ186+AJ116+AJ24</f>
        <v>28403</v>
      </c>
      <c r="AK241" s="7">
        <f>AK212+AK186+AK116+AK24</f>
        <v>24640</v>
      </c>
      <c r="AL241" s="7"/>
    </row>
    <row r="242" spans="1:38">
      <c r="A242" s="7" t="s">
        <v>22</v>
      </c>
      <c r="B242" s="7"/>
      <c r="C242" s="7"/>
      <c r="D242" s="7"/>
      <c r="E242" s="7"/>
      <c r="F242" s="7">
        <f t="shared" ref="F242:Q242" si="295">F25+F47+F69+F91+F117+F139+F187+F213+F235</f>
        <v>70090</v>
      </c>
      <c r="G242" s="7">
        <f t="shared" si="295"/>
        <v>69926</v>
      </c>
      <c r="H242" s="7">
        <f t="shared" si="295"/>
        <v>67289</v>
      </c>
      <c r="I242" s="7">
        <f t="shared" si="295"/>
        <v>67650</v>
      </c>
      <c r="J242" s="7">
        <f t="shared" si="295"/>
        <v>65922</v>
      </c>
      <c r="K242" s="7">
        <f t="shared" si="295"/>
        <v>63186</v>
      </c>
      <c r="L242" s="7">
        <f t="shared" si="295"/>
        <v>63693</v>
      </c>
      <c r="M242" s="7">
        <f t="shared" si="295"/>
        <v>64204</v>
      </c>
      <c r="N242" s="7">
        <f t="shared" si="295"/>
        <v>65128</v>
      </c>
      <c r="O242" s="7">
        <f t="shared" si="295"/>
        <v>68987</v>
      </c>
      <c r="P242" s="7">
        <f t="shared" si="295"/>
        <v>72434</v>
      </c>
      <c r="Q242" s="7">
        <f t="shared" si="295"/>
        <v>70930</v>
      </c>
      <c r="R242" s="7">
        <f t="shared" ref="R242:AG242" si="296">R25+R47+R69+R91+R117+R139+R187+R213+R235+R161</f>
        <v>68991</v>
      </c>
      <c r="S242" s="7">
        <f t="shared" si="296"/>
        <v>68483</v>
      </c>
      <c r="T242" s="7">
        <f t="shared" si="296"/>
        <v>72451</v>
      </c>
      <c r="U242" s="7">
        <f t="shared" si="296"/>
        <v>74687</v>
      </c>
      <c r="V242" s="7">
        <f t="shared" si="296"/>
        <v>79370</v>
      </c>
      <c r="W242" s="7">
        <f t="shared" si="296"/>
        <v>80669</v>
      </c>
      <c r="X242" s="7">
        <f t="shared" si="296"/>
        <v>76869</v>
      </c>
      <c r="Y242" s="7">
        <f t="shared" si="296"/>
        <v>78173</v>
      </c>
      <c r="Z242" s="7">
        <f t="shared" si="296"/>
        <v>81196</v>
      </c>
      <c r="AA242" s="7">
        <f t="shared" si="296"/>
        <v>82751.22</v>
      </c>
      <c r="AB242" s="7">
        <f t="shared" si="296"/>
        <v>85173.390000000014</v>
      </c>
      <c r="AC242" s="7">
        <f t="shared" si="296"/>
        <v>82432.169999999984</v>
      </c>
      <c r="AD242" s="7">
        <f t="shared" si="296"/>
        <v>80586.48000000001</v>
      </c>
      <c r="AE242" s="7">
        <f t="shared" ref="AE242:AF242" si="297">AE25+AE47+AE69+AE91+AE117+AE139+AE187+AE213+AE235+AE161</f>
        <v>77426.736999999994</v>
      </c>
      <c r="AF242" s="7">
        <f t="shared" si="297"/>
        <v>72667.936999999991</v>
      </c>
      <c r="AG242" s="7">
        <f t="shared" si="296"/>
        <v>72005.466</v>
      </c>
      <c r="AH242" s="7">
        <f t="shared" ref="AH242:AK242" si="298">AH25+AH47+AH69+AH91+AH117+AH139+AH187+AH213+AH235+AH161</f>
        <v>69354.987999999998</v>
      </c>
      <c r="AI242" s="7">
        <f t="shared" ref="AI242:AJ242" si="299">AI25+AI47+AI69+AI91+AI117+AI139+AI187+AI213+AI235+AI161</f>
        <v>67708.13</v>
      </c>
      <c r="AJ242" s="7">
        <f t="shared" si="299"/>
        <v>71113</v>
      </c>
      <c r="AK242" s="7">
        <f t="shared" si="298"/>
        <v>74275</v>
      </c>
      <c r="AL242" s="7"/>
    </row>
    <row r="243" spans="1:38">
      <c r="A243" s="7" t="s">
        <v>3</v>
      </c>
      <c r="B243" s="7"/>
      <c r="C243" s="7"/>
      <c r="D243" s="7"/>
      <c r="E243" s="7"/>
      <c r="F243" s="7">
        <f t="shared" ref="F243:AG243" si="300">SUM(F239:F242)</f>
        <v>681051</v>
      </c>
      <c r="G243" s="7">
        <f t="shared" si="300"/>
        <v>666258</v>
      </c>
      <c r="H243" s="7">
        <f t="shared" si="300"/>
        <v>663397</v>
      </c>
      <c r="I243" s="7">
        <f t="shared" si="300"/>
        <v>668412</v>
      </c>
      <c r="J243" s="7">
        <f t="shared" si="300"/>
        <v>684950</v>
      </c>
      <c r="K243" s="7">
        <f t="shared" si="300"/>
        <v>686420</v>
      </c>
      <c r="L243" s="7">
        <f t="shared" si="300"/>
        <v>698976</v>
      </c>
      <c r="M243" s="7">
        <f t="shared" si="300"/>
        <v>718643</v>
      </c>
      <c r="N243" s="7">
        <f t="shared" si="300"/>
        <v>753635</v>
      </c>
      <c r="O243" s="7">
        <f t="shared" si="300"/>
        <v>756773</v>
      </c>
      <c r="P243" s="7">
        <f t="shared" si="300"/>
        <v>740420</v>
      </c>
      <c r="Q243" s="7">
        <f t="shared" si="300"/>
        <v>714760</v>
      </c>
      <c r="R243" s="7">
        <f t="shared" si="300"/>
        <v>693884</v>
      </c>
      <c r="S243" s="7">
        <f t="shared" si="300"/>
        <v>679470</v>
      </c>
      <c r="T243" s="7">
        <f t="shared" si="300"/>
        <v>701610</v>
      </c>
      <c r="U243" s="7">
        <f t="shared" si="300"/>
        <v>729412</v>
      </c>
      <c r="V243" s="7">
        <f t="shared" si="300"/>
        <v>765855</v>
      </c>
      <c r="W243" s="7">
        <f t="shared" si="300"/>
        <v>785183</v>
      </c>
      <c r="X243" s="7">
        <f t="shared" si="300"/>
        <v>824654</v>
      </c>
      <c r="Y243" s="7">
        <f t="shared" si="300"/>
        <v>864310</v>
      </c>
      <c r="Z243" s="7">
        <f t="shared" si="300"/>
        <v>921735</v>
      </c>
      <c r="AA243" s="72">
        <f t="shared" si="300"/>
        <v>962984.28999999992</v>
      </c>
      <c r="AB243" s="72">
        <f t="shared" si="300"/>
        <v>993077.82999999984</v>
      </c>
      <c r="AC243" s="72">
        <f t="shared" si="300"/>
        <v>1004138.8700000001</v>
      </c>
      <c r="AD243" s="72">
        <f t="shared" si="300"/>
        <v>988205.45000000007</v>
      </c>
      <c r="AE243" s="72">
        <f t="shared" ref="AE243:AF243" si="301">SUM(AE239:AE242)</f>
        <v>965037.69999999984</v>
      </c>
      <c r="AF243" s="72">
        <f t="shared" si="301"/>
        <v>920134.03799999994</v>
      </c>
      <c r="AG243" s="72">
        <f t="shared" si="300"/>
        <v>888915.37300000002</v>
      </c>
      <c r="AH243" s="72">
        <f t="shared" ref="AH243:AK243" si="302">SUM(AH239:AH242)</f>
        <v>837876.80800000008</v>
      </c>
      <c r="AI243" s="72">
        <f t="shared" ref="AI243:AJ243" si="303">SUM(AI239:AI242)</f>
        <v>822916.10000000009</v>
      </c>
      <c r="AJ243" s="72">
        <f t="shared" si="303"/>
        <v>834609</v>
      </c>
      <c r="AK243" s="72">
        <f t="shared" si="302"/>
        <v>840991</v>
      </c>
      <c r="AL243" s="72"/>
    </row>
    <row r="244" spans="1:38">
      <c r="A244" s="2"/>
      <c r="B244" s="2"/>
      <c r="C244" s="2"/>
      <c r="AE244" s="18"/>
      <c r="AF244" s="18"/>
      <c r="AG244" s="18"/>
      <c r="AH244" s="18"/>
      <c r="AI244" s="18"/>
      <c r="AJ244" s="18"/>
      <c r="AK244" s="18"/>
      <c r="AL244" s="18"/>
    </row>
    <row r="245" spans="1:38">
      <c r="C245" s="68" t="s">
        <v>72</v>
      </c>
      <c r="Q245" s="20" t="s">
        <v>17</v>
      </c>
      <c r="R245" s="30">
        <v>43224</v>
      </c>
      <c r="S245" s="30">
        <v>43802</v>
      </c>
      <c r="T245" s="30">
        <v>42178</v>
      </c>
      <c r="U245" s="30">
        <v>43393</v>
      </c>
      <c r="V245" s="30">
        <v>45205</v>
      </c>
      <c r="W245" s="28">
        <v>46703</v>
      </c>
      <c r="X245" s="28">
        <v>43790</v>
      </c>
      <c r="Y245" s="28">
        <v>45122</v>
      </c>
      <c r="Z245" s="28">
        <v>47136</v>
      </c>
      <c r="AA245" s="28">
        <v>46389.81</v>
      </c>
      <c r="AB245" s="28">
        <v>45939</v>
      </c>
      <c r="AC245" s="101">
        <f>AC217+AC191+AC165+AC143+AC95+AC51+AC29+AC3</f>
        <v>47279.920000000006</v>
      </c>
      <c r="AD245" s="101">
        <f>AD217+AD191+AD165+AD143+AD95+AD51+AD29+AD3</f>
        <v>45158.009999999995</v>
      </c>
      <c r="AE245" s="132">
        <f t="shared" ref="AE245:AF245" si="304">AE217+AE191+AE165+AE143+AE95+AE51+AE29+AE3</f>
        <v>43386.340000000004</v>
      </c>
      <c r="AF245" s="132">
        <f t="shared" si="304"/>
        <v>40761.26</v>
      </c>
      <c r="AG245" s="132">
        <f>AG217+AG191+AG165+AG143+AG95+AG51+AG29+AG3</f>
        <v>40392.28</v>
      </c>
      <c r="AH245" s="132">
        <f>AH217+AH191+AH165+AH143+AH95+AH51+AH29+AH3</f>
        <v>30636.129999999997</v>
      </c>
      <c r="AI245" s="132">
        <f>AI217+AI191+AI165+AI143+AI95+AI51+AI29+AI3</f>
        <v>29860</v>
      </c>
      <c r="AJ245" s="132">
        <f>AJ217+AJ191+AJ165+AJ143+AJ95+AJ51+AJ29+AJ3</f>
        <v>26475</v>
      </c>
      <c r="AK245" s="132">
        <f>AK217+AK191+AK165+AK143+AK95+AK51+AK29+AK3</f>
        <v>25050</v>
      </c>
      <c r="AL245" s="192"/>
    </row>
    <row r="246" spans="1:38">
      <c r="C246" s="68" t="s">
        <v>73</v>
      </c>
      <c r="Q246" s="20" t="s">
        <v>18</v>
      </c>
      <c r="R246" s="30">
        <v>340676</v>
      </c>
      <c r="S246" s="30">
        <v>332497</v>
      </c>
      <c r="T246" s="30">
        <v>343723</v>
      </c>
      <c r="U246" s="30">
        <v>355089</v>
      </c>
      <c r="V246" s="30">
        <v>374416</v>
      </c>
      <c r="W246" s="29">
        <v>385169</v>
      </c>
      <c r="X246" s="29">
        <v>405766</v>
      </c>
      <c r="Y246" s="29">
        <v>423637</v>
      </c>
      <c r="Z246" s="29">
        <v>453852</v>
      </c>
      <c r="AA246" s="29">
        <v>475134.05</v>
      </c>
      <c r="AB246" s="29">
        <v>493177.1</v>
      </c>
      <c r="AC246" s="102">
        <f>AC222+AC197+AC171+AC148+AC101+AC56+AC34+AC9</f>
        <v>497571.34</v>
      </c>
      <c r="AD246" s="102">
        <f>AD222+AD197+AD171+AD148+AD101+AD56+AD34+AD9</f>
        <v>497268.01</v>
      </c>
      <c r="AE246" s="133">
        <f t="shared" ref="AE246:AF246" si="305">AE222+AE197+AE171+AE148+AE101+AE56+AE34+AE9</f>
        <v>483383.66399999999</v>
      </c>
      <c r="AF246" s="196">
        <f t="shared" si="305"/>
        <v>460102.11099999998</v>
      </c>
      <c r="AG246" s="133">
        <f>AG222+AG197+AG171+AG148+AG101+AG56+AG34+AG9</f>
        <v>441290.03199999995</v>
      </c>
      <c r="AH246" s="133">
        <f>AH222+AH197+AH171+AH148+AH101+AH56+AH34+AH9</f>
        <v>421577.38</v>
      </c>
      <c r="AI246" s="133">
        <f>AI222+AI197+AI171+AI148+AI101+AI56+AI34+AI9</f>
        <v>411463</v>
      </c>
      <c r="AJ246" s="133">
        <f>AJ222+AJ197+AJ171+AJ148+AJ101+AJ56+AJ34+AJ9</f>
        <v>418462</v>
      </c>
      <c r="AK246" s="133">
        <f>AK222+AK197+AK171+AK148+AK101+AK56+AK34+AK9</f>
        <v>416308</v>
      </c>
      <c r="AL246" s="192"/>
    </row>
    <row r="247" spans="1:38">
      <c r="C247" s="68" t="s">
        <v>74</v>
      </c>
      <c r="Q247" s="20" t="s">
        <v>19</v>
      </c>
      <c r="R247" s="30">
        <v>309984</v>
      </c>
      <c r="S247" s="30">
        <v>303171</v>
      </c>
      <c r="T247" s="30">
        <v>315709</v>
      </c>
      <c r="U247" s="30">
        <v>330930</v>
      </c>
      <c r="V247" s="30">
        <v>346234</v>
      </c>
      <c r="W247" s="22">
        <v>353311</v>
      </c>
      <c r="X247" s="22">
        <v>375098</v>
      </c>
      <c r="Y247" s="22">
        <v>395551</v>
      </c>
      <c r="Z247" s="22">
        <v>420747</v>
      </c>
      <c r="AA247" s="22">
        <v>441460.43</v>
      </c>
      <c r="AB247" s="22">
        <v>453962.2</v>
      </c>
      <c r="AC247" s="103">
        <f>AC227+AC203+AC177+AC153+AC107+AC61+AC39+AC15</f>
        <v>459287.61</v>
      </c>
      <c r="AD247" s="103">
        <f>AD227+AD203+AD177+AD153+AD107+AD61+AD39+AD15</f>
        <v>445779.42999999993</v>
      </c>
      <c r="AE247" s="134">
        <f t="shared" ref="AE247:AF247" si="306">AE227+AE203+AE177+AE153+AE107+AE61+AE39+AE15</f>
        <v>438267.696</v>
      </c>
      <c r="AF247" s="195">
        <f t="shared" si="306"/>
        <v>419270.66700000002</v>
      </c>
      <c r="AG247" s="134">
        <f>AG227+AG203+AG177+AG153+AG107+AG61+AG39+AG15</f>
        <v>407233.06099999999</v>
      </c>
      <c r="AH247" s="134">
        <f>AH227+AH203+AH177+AH153+AH107+AH61+AH39+AH15</f>
        <v>385663.29800000001</v>
      </c>
      <c r="AI247" s="134">
        <f>AI227+AI203+AI177+AI153+AI107+AI61+AI39+AI15</f>
        <v>381593.10000000003</v>
      </c>
      <c r="AJ247" s="134">
        <f>AJ227+AJ203+AJ177+AJ153+AJ107+AJ61+AJ39+AJ15</f>
        <v>389672</v>
      </c>
      <c r="AK247" s="134">
        <f>AK227+AK203+AK177+AK153+AK107+AK61+AK39+AK15</f>
        <v>399633</v>
      </c>
      <c r="AL247" s="192"/>
    </row>
    <row r="248" spans="1:38">
      <c r="C248" s="68" t="s">
        <v>75</v>
      </c>
      <c r="Q248" s="20" t="s">
        <v>20</v>
      </c>
      <c r="R248" s="30">
        <f t="shared" ref="R248:AG248" si="307">SUM(R245:R247)</f>
        <v>693884</v>
      </c>
      <c r="S248" s="30">
        <f t="shared" si="307"/>
        <v>679470</v>
      </c>
      <c r="T248" s="30">
        <f t="shared" si="307"/>
        <v>701610</v>
      </c>
      <c r="U248" s="30">
        <f t="shared" si="307"/>
        <v>729412</v>
      </c>
      <c r="V248" s="30">
        <f t="shared" si="307"/>
        <v>765855</v>
      </c>
      <c r="W248" s="21">
        <f t="shared" si="307"/>
        <v>785183</v>
      </c>
      <c r="X248" s="21">
        <f t="shared" si="307"/>
        <v>824654</v>
      </c>
      <c r="Y248" s="21">
        <f t="shared" si="307"/>
        <v>864310</v>
      </c>
      <c r="Z248" s="21">
        <f t="shared" si="307"/>
        <v>921735</v>
      </c>
      <c r="AA248" s="21">
        <f t="shared" si="307"/>
        <v>962984.29</v>
      </c>
      <c r="AB248" s="21">
        <f t="shared" si="307"/>
        <v>993078.3</v>
      </c>
      <c r="AC248" s="104">
        <f t="shared" si="307"/>
        <v>1004138.87</v>
      </c>
      <c r="AD248" s="104">
        <f t="shared" si="307"/>
        <v>988205.45</v>
      </c>
      <c r="AE248" s="135">
        <f t="shared" ref="AE248:AF248" si="308">SUM(AE245:AE247)</f>
        <v>965037.7</v>
      </c>
      <c r="AF248" s="135">
        <f t="shared" si="308"/>
        <v>920134.03799999994</v>
      </c>
      <c r="AG248" s="135">
        <f t="shared" si="307"/>
        <v>888915.37299999991</v>
      </c>
      <c r="AH248" s="135">
        <f t="shared" ref="AH248:AK248" si="309">SUM(AH245:AH247)</f>
        <v>837876.80799999996</v>
      </c>
      <c r="AI248" s="135">
        <f t="shared" ref="AI248:AJ248" si="310">SUM(AI245:AI247)</f>
        <v>822916.10000000009</v>
      </c>
      <c r="AJ248" s="135">
        <f t="shared" si="310"/>
        <v>834609</v>
      </c>
      <c r="AK248" s="135">
        <f t="shared" si="309"/>
        <v>840991</v>
      </c>
      <c r="AL248" s="13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</sheetPr>
  <dimension ref="A1:J55"/>
  <sheetViews>
    <sheetView showGridLines="0" zoomScaleNormal="100" zoomScaleSheetLayoutView="130" workbookViewId="0">
      <selection activeCell="B13" sqref="B13"/>
    </sheetView>
  </sheetViews>
  <sheetFormatPr defaultColWidth="11.42578125" defaultRowHeight="12.75"/>
  <cols>
    <col min="1" max="1" width="35.28515625" style="86" bestFit="1" customWidth="1"/>
    <col min="2" max="2" width="8.85546875" style="86" bestFit="1" customWidth="1"/>
    <col min="3" max="3" width="6.85546875" style="86" customWidth="1"/>
    <col min="4" max="4" width="9.42578125" style="86" bestFit="1" customWidth="1"/>
    <col min="5" max="5" width="6.85546875" style="86" customWidth="1"/>
    <col min="6" max="6" width="11.85546875" style="86" bestFit="1" customWidth="1"/>
    <col min="7" max="7" width="6.85546875" style="86" customWidth="1"/>
    <col min="8" max="8" width="8.42578125" bestFit="1" customWidth="1"/>
    <col min="9" max="9" width="5.140625" bestFit="1" customWidth="1"/>
    <col min="10" max="10" width="9.140625" customWidth="1"/>
  </cols>
  <sheetData>
    <row r="1" spans="1:10" s="38" customFormat="1" ht="10.5" customHeight="1">
      <c r="A1" s="86"/>
      <c r="B1" s="86"/>
      <c r="C1" s="86"/>
      <c r="D1" s="86"/>
      <c r="E1" s="86"/>
      <c r="F1" s="86"/>
      <c r="G1" s="86"/>
    </row>
    <row r="2" spans="1:10" s="38" customFormat="1" ht="10.5" customHeight="1">
      <c r="A2" s="86"/>
      <c r="B2" s="86"/>
      <c r="C2" s="86"/>
      <c r="D2" s="86"/>
      <c r="E2" s="86"/>
      <c r="F2" s="86"/>
      <c r="G2" s="86"/>
    </row>
    <row r="3" spans="1:10" s="39" customFormat="1" ht="9.75" customHeight="1">
      <c r="A3" s="86"/>
      <c r="B3" s="86"/>
      <c r="C3" s="86"/>
      <c r="D3" s="86"/>
      <c r="E3" s="86"/>
      <c r="F3" s="86"/>
      <c r="G3"/>
    </row>
    <row r="4" spans="1:10" s="38" customFormat="1" ht="18.75" customHeight="1">
      <c r="A4" s="33" t="s">
        <v>77</v>
      </c>
      <c r="B4" s="90" t="s">
        <v>154</v>
      </c>
      <c r="C4"/>
      <c r="D4"/>
      <c r="E4"/>
      <c r="F4"/>
      <c r="G4"/>
      <c r="H4"/>
      <c r="I4"/>
      <c r="J4"/>
    </row>
    <row r="5" spans="1:10" s="38" customFormat="1" ht="10.5" customHeight="1">
      <c r="A5" s="38" t="s">
        <v>87</v>
      </c>
      <c r="B5" s="81">
        <v>362923</v>
      </c>
      <c r="C5" s="197">
        <f>B5/$B$13</f>
        <v>0.434841943952198</v>
      </c>
      <c r="D5" s="108">
        <v>0.45432144354516657</v>
      </c>
      <c r="E5"/>
      <c r="F5"/>
      <c r="G5"/>
      <c r="H5"/>
      <c r="I5"/>
      <c r="J5"/>
    </row>
    <row r="6" spans="1:10" s="38" customFormat="1" ht="10.5" customHeight="1">
      <c r="A6" s="110" t="s">
        <v>85</v>
      </c>
      <c r="B6" s="111">
        <v>113951</v>
      </c>
      <c r="C6" s="197">
        <f t="shared" ref="C6:C11" si="0">B6/$B$13</f>
        <v>0.13653219651357701</v>
      </c>
      <c r="D6" s="108">
        <v>0.13952267564550327</v>
      </c>
      <c r="E6"/>
      <c r="F6"/>
      <c r="G6"/>
      <c r="H6"/>
      <c r="I6"/>
      <c r="J6"/>
    </row>
    <row r="7" spans="1:10" s="38" customFormat="1" ht="10.5" customHeight="1">
      <c r="A7" s="38" t="s">
        <v>86</v>
      </c>
      <c r="B7" s="81">
        <v>85456</v>
      </c>
      <c r="C7" s="197">
        <f t="shared" si="0"/>
        <v>0.10239046068278679</v>
      </c>
      <c r="D7" s="108">
        <v>0.11048002318404125</v>
      </c>
      <c r="E7"/>
      <c r="F7"/>
      <c r="G7"/>
      <c r="H7"/>
      <c r="I7"/>
      <c r="J7"/>
    </row>
    <row r="8" spans="1:10" s="38" customFormat="1" ht="10.5" customHeight="1">
      <c r="A8" s="64" t="s">
        <v>82</v>
      </c>
      <c r="B8" s="78">
        <v>95237</v>
      </c>
      <c r="C8" s="197">
        <f t="shared" si="0"/>
        <v>0.11410972083933914</v>
      </c>
      <c r="D8" s="108">
        <v>0.10845641888224637</v>
      </c>
      <c r="E8"/>
      <c r="F8"/>
      <c r="G8"/>
      <c r="H8"/>
      <c r="I8"/>
      <c r="J8"/>
    </row>
    <row r="9" spans="1:10" s="38" customFormat="1" ht="10.5" customHeight="1">
      <c r="A9" s="38" t="s">
        <v>83</v>
      </c>
      <c r="B9" s="81">
        <v>90773</v>
      </c>
      <c r="C9" s="197">
        <f t="shared" si="0"/>
        <v>0.10876110849511568</v>
      </c>
      <c r="D9" s="108">
        <v>8.866717655623374E-2</v>
      </c>
      <c r="E9"/>
      <c r="F9"/>
      <c r="G9"/>
      <c r="H9"/>
      <c r="I9"/>
      <c r="J9"/>
    </row>
    <row r="10" spans="1:10" s="38" customFormat="1" ht="10.5" customHeight="1">
      <c r="A10" s="64" t="s">
        <v>84</v>
      </c>
      <c r="B10" s="78">
        <v>49255</v>
      </c>
      <c r="C10" s="197">
        <f>B10/$B$13</f>
        <v>5.9015658829463857E-2</v>
      </c>
      <c r="D10" s="109">
        <v>4.6774948488207312E-2</v>
      </c>
      <c r="E10"/>
      <c r="F10"/>
      <c r="G10"/>
      <c r="H10"/>
      <c r="I10"/>
      <c r="J10"/>
    </row>
    <row r="11" spans="1:10" s="39" customFormat="1">
      <c r="A11" s="38" t="s">
        <v>88</v>
      </c>
      <c r="B11" s="81">
        <v>29840</v>
      </c>
      <c r="C11" s="197">
        <f t="shared" si="0"/>
        <v>3.5753268895974043E-2</v>
      </c>
      <c r="D11" s="108">
        <v>2.7632947231409195E-2</v>
      </c>
      <c r="E11"/>
      <c r="F11"/>
      <c r="G11"/>
      <c r="H11"/>
      <c r="I11"/>
      <c r="J11"/>
    </row>
    <row r="12" spans="1:10" s="39" customFormat="1">
      <c r="A12" s="112" t="s">
        <v>89</v>
      </c>
      <c r="B12" s="113">
        <v>7174</v>
      </c>
      <c r="C12" s="197">
        <f>B12/$B$13</f>
        <v>8.5956417915455021E-3</v>
      </c>
      <c r="D12" s="108">
        <v>8.1736691832505265E-4</v>
      </c>
      <c r="E12"/>
      <c r="F12"/>
      <c r="G12"/>
      <c r="H12"/>
      <c r="I12"/>
      <c r="J12"/>
    </row>
    <row r="13" spans="1:10" s="39" customFormat="1">
      <c r="A13" s="35" t="s">
        <v>90</v>
      </c>
      <c r="B13" s="84">
        <f>SUM(B5:B12)</f>
        <v>834609</v>
      </c>
      <c r="C13" s="107">
        <f>B13/$B$13</f>
        <v>1</v>
      </c>
      <c r="D13" s="108">
        <v>1</v>
      </c>
      <c r="E13"/>
      <c r="F13"/>
      <c r="G13"/>
      <c r="H13"/>
      <c r="I13"/>
      <c r="J13"/>
    </row>
    <row r="14" spans="1:10" s="39" customFormat="1">
      <c r="A14" s="85"/>
      <c r="B14" s="85"/>
      <c r="C14" s="85"/>
      <c r="D14"/>
      <c r="E14"/>
      <c r="F14"/>
      <c r="G14"/>
      <c r="H14"/>
      <c r="I14"/>
      <c r="J14"/>
    </row>
    <row r="15" spans="1:10" s="39" customFormat="1">
      <c r="A15" s="86"/>
      <c r="B15" s="86"/>
      <c r="C15" s="86"/>
      <c r="D15" s="86"/>
      <c r="E15"/>
      <c r="F15"/>
      <c r="G15"/>
    </row>
    <row r="16" spans="1:10" s="38" customFormat="1" ht="10.5" customHeight="1">
      <c r="A16" s="86"/>
      <c r="B16" s="81"/>
      <c r="C16" s="86"/>
      <c r="D16" s="86"/>
      <c r="E16" s="86"/>
      <c r="F16" s="86"/>
      <c r="G16" s="86"/>
    </row>
    <row r="17" spans="1:7" s="38" customFormat="1" ht="10.9" customHeight="1">
      <c r="A17" s="86"/>
      <c r="B17" s="86"/>
      <c r="C17" s="86"/>
      <c r="D17" s="86"/>
      <c r="E17" s="86"/>
      <c r="F17" s="86"/>
      <c r="G17" s="86"/>
    </row>
    <row r="18" spans="1:7" s="38" customFormat="1" ht="10.5" customHeight="1">
      <c r="A18" s="86"/>
      <c r="B18" s="86"/>
      <c r="C18" s="86"/>
      <c r="D18" s="86"/>
      <c r="E18" s="86"/>
      <c r="F18" s="86"/>
      <c r="G18" s="86"/>
    </row>
    <row r="19" spans="1:7" s="38" customFormat="1" ht="10.5" customHeight="1">
      <c r="A19" s="86"/>
      <c r="B19" s="86"/>
      <c r="C19" s="86"/>
      <c r="D19" s="86"/>
      <c r="E19" s="86"/>
      <c r="F19" s="86"/>
      <c r="G19" s="86"/>
    </row>
    <row r="20" spans="1:7" s="39" customFormat="1" ht="12" hidden="1">
      <c r="A20" s="86"/>
      <c r="B20" s="86"/>
      <c r="C20" s="86"/>
      <c r="D20" s="86"/>
      <c r="E20" s="86"/>
      <c r="F20" s="86"/>
      <c r="G20" s="86"/>
    </row>
    <row r="21" spans="1:7" s="39" customFormat="1" ht="12" hidden="1">
      <c r="A21" s="86"/>
      <c r="B21" s="86"/>
      <c r="C21" s="86"/>
      <c r="D21" s="86"/>
      <c r="E21" s="86"/>
      <c r="F21" s="86"/>
      <c r="G21" s="86"/>
    </row>
    <row r="22" spans="1:7" s="39" customFormat="1" ht="12" hidden="1">
      <c r="A22" s="86"/>
      <c r="B22" s="86"/>
      <c r="C22" s="86"/>
      <c r="D22" s="86"/>
      <c r="E22" s="86"/>
      <c r="F22" s="86"/>
      <c r="G22" s="86"/>
    </row>
    <row r="23" spans="1:7" s="39" customFormat="1" ht="12" hidden="1">
      <c r="A23" s="86"/>
      <c r="B23" s="86"/>
      <c r="C23" s="86"/>
      <c r="D23" s="86"/>
      <c r="E23" s="86"/>
      <c r="F23" s="86"/>
      <c r="G23" s="86"/>
    </row>
    <row r="24" spans="1:7" s="39" customFormat="1" ht="12" hidden="1">
      <c r="A24" s="86"/>
      <c r="B24" s="86"/>
      <c r="C24" s="86"/>
      <c r="D24" s="86"/>
      <c r="E24" s="86"/>
      <c r="F24" s="86"/>
      <c r="G24" s="86"/>
    </row>
    <row r="25" spans="1:7" s="39" customFormat="1" ht="14.25" customHeight="1">
      <c r="A25" s="86"/>
      <c r="B25" s="86"/>
      <c r="C25" s="86"/>
      <c r="D25" s="86"/>
      <c r="E25" s="86"/>
      <c r="F25" s="86"/>
      <c r="G25" s="86"/>
    </row>
    <row r="26" spans="1:7" s="38" customFormat="1" ht="10.5" customHeight="1">
      <c r="A26" s="86"/>
      <c r="B26" s="86"/>
      <c r="C26" s="86"/>
      <c r="D26" s="86"/>
      <c r="E26" s="86"/>
      <c r="F26" s="86"/>
      <c r="G26" s="86"/>
    </row>
    <row r="27" spans="1:7" s="38" customFormat="1" ht="9.75" customHeight="1">
      <c r="A27" s="86"/>
      <c r="B27" s="86"/>
      <c r="C27" s="86"/>
      <c r="D27" s="86"/>
      <c r="E27" s="86"/>
      <c r="F27" s="86"/>
      <c r="G27" s="86"/>
    </row>
    <row r="28" spans="1:7" s="38" customFormat="1" ht="9.75" customHeight="1">
      <c r="A28" s="86"/>
      <c r="B28" s="86"/>
      <c r="C28" s="86"/>
      <c r="D28" s="86"/>
      <c r="E28" s="86"/>
      <c r="F28" s="86"/>
      <c r="G28" s="86"/>
    </row>
    <row r="29" spans="1:7" s="39" customFormat="1" ht="14.25" customHeight="1">
      <c r="A29" s="86"/>
      <c r="B29" s="86"/>
      <c r="C29" s="86"/>
      <c r="D29" s="86"/>
      <c r="E29" s="86"/>
      <c r="F29" s="86"/>
      <c r="G29" s="86"/>
    </row>
    <row r="30" spans="1:7" s="38" customFormat="1" ht="10.5" customHeight="1">
      <c r="A30" s="86"/>
      <c r="B30" s="86"/>
      <c r="C30" s="86"/>
      <c r="D30" s="86"/>
      <c r="E30" s="86"/>
      <c r="F30" s="86"/>
      <c r="G30" s="86"/>
    </row>
    <row r="31" spans="1:7" s="38" customFormat="1" ht="10.9" customHeight="1">
      <c r="A31" s="86"/>
      <c r="B31" s="86"/>
      <c r="C31" s="86"/>
      <c r="D31" s="86"/>
      <c r="E31" s="86"/>
      <c r="F31" s="86"/>
      <c r="G31" s="86"/>
    </row>
    <row r="32" spans="1:7" s="38" customFormat="1" ht="10.5" customHeight="1">
      <c r="A32" s="86"/>
      <c r="B32" s="86"/>
      <c r="C32" s="86"/>
      <c r="D32" s="86"/>
      <c r="E32" s="86"/>
      <c r="F32" s="86"/>
      <c r="G32" s="86"/>
    </row>
    <row r="33" spans="1:8" s="38" customFormat="1" ht="10.5" customHeight="1">
      <c r="A33" s="86"/>
      <c r="B33" s="86"/>
      <c r="C33" s="86"/>
      <c r="D33" s="86"/>
      <c r="E33" s="86"/>
      <c r="F33" s="86"/>
      <c r="G33" s="86"/>
    </row>
    <row r="34" spans="1:8" s="39" customFormat="1" ht="14.25" customHeight="1">
      <c r="A34" s="86"/>
      <c r="B34" s="86"/>
      <c r="C34" s="86"/>
      <c r="D34" s="86"/>
      <c r="E34" s="86"/>
      <c r="F34" s="86"/>
      <c r="G34" s="86"/>
    </row>
    <row r="35" spans="1:8" s="38" customFormat="1" ht="10.5" customHeight="1">
      <c r="A35" s="86"/>
      <c r="B35" s="86"/>
      <c r="C35" s="86"/>
      <c r="D35" s="86"/>
      <c r="E35" s="86"/>
      <c r="F35" s="86"/>
      <c r="G35" s="86"/>
    </row>
    <row r="36" spans="1:8" s="38" customFormat="1" ht="10.5" customHeight="1">
      <c r="A36" s="86"/>
      <c r="B36" s="86"/>
      <c r="C36" s="86"/>
      <c r="D36" s="86"/>
      <c r="E36" s="86"/>
      <c r="F36" s="86"/>
      <c r="G36" s="86"/>
    </row>
    <row r="37" spans="1:8" s="38" customFormat="1" ht="10.5" customHeight="1">
      <c r="A37" s="86"/>
      <c r="B37" s="86"/>
      <c r="C37" s="86"/>
      <c r="D37" s="86"/>
      <c r="E37" s="86"/>
      <c r="F37" s="86"/>
      <c r="G37" s="86"/>
    </row>
    <row r="38" spans="1:8" s="38" customFormat="1" ht="10.5" customHeight="1">
      <c r="A38" s="86"/>
      <c r="B38" s="86"/>
      <c r="C38" s="86"/>
      <c r="D38" s="86"/>
      <c r="E38" s="86"/>
      <c r="F38" s="86"/>
      <c r="G38" s="86"/>
    </row>
    <row r="39" spans="1:8" s="39" customFormat="1" ht="14.25" customHeight="1">
      <c r="A39" s="86"/>
      <c r="B39" s="86"/>
      <c r="C39" s="86"/>
      <c r="D39" s="86"/>
      <c r="E39" s="86"/>
      <c r="F39" s="86"/>
      <c r="G39" s="86"/>
    </row>
    <row r="40" spans="1:8" s="38" customFormat="1" ht="10.5" customHeight="1">
      <c r="A40" s="86"/>
      <c r="B40" s="86"/>
      <c r="C40" s="86"/>
      <c r="D40" s="86"/>
      <c r="E40" s="86"/>
      <c r="F40" s="86"/>
      <c r="G40" s="86"/>
    </row>
    <row r="41" spans="1:8" s="38" customFormat="1" ht="10.5" customHeight="1">
      <c r="A41" s="86"/>
      <c r="B41" s="86"/>
      <c r="C41" s="86"/>
      <c r="D41" s="86"/>
      <c r="E41" s="86"/>
      <c r="F41" s="86"/>
      <c r="G41" s="86"/>
    </row>
    <row r="42" spans="1:8" s="38" customFormat="1" ht="10.5" customHeight="1">
      <c r="A42" s="86"/>
      <c r="B42" s="86"/>
      <c r="C42" s="86"/>
      <c r="D42" s="86"/>
      <c r="E42" s="86"/>
      <c r="F42" s="86"/>
      <c r="G42" s="86"/>
    </row>
    <row r="43" spans="1:8" s="41" customFormat="1" ht="15" customHeight="1">
      <c r="A43" s="86"/>
      <c r="B43" s="86"/>
      <c r="C43" s="86"/>
      <c r="D43" s="86"/>
      <c r="E43" s="86"/>
      <c r="F43" s="86"/>
      <c r="G43" s="86"/>
    </row>
    <row r="44" spans="1:8" s="77" customFormat="1" ht="10.5" customHeight="1">
      <c r="A44" s="86"/>
      <c r="B44" s="86"/>
      <c r="C44" s="86"/>
      <c r="D44" s="86"/>
      <c r="E44" s="86"/>
      <c r="F44" s="86"/>
      <c r="G44" s="86"/>
    </row>
    <row r="45" spans="1:8" s="35" customFormat="1" ht="10.5" customHeight="1">
      <c r="A45" s="86"/>
      <c r="B45" s="86"/>
      <c r="C45" s="86"/>
      <c r="D45" s="86"/>
      <c r="E45" s="86"/>
      <c r="F45" s="86"/>
      <c r="G45" s="86"/>
    </row>
    <row r="46" spans="1:8" s="35" customFormat="1" ht="10.5" customHeight="1">
      <c r="A46" s="86"/>
      <c r="B46" s="86"/>
      <c r="C46" s="86"/>
      <c r="D46" s="86"/>
      <c r="E46" s="86"/>
      <c r="F46" s="86"/>
      <c r="G46" s="86"/>
    </row>
    <row r="47" spans="1:8" s="35" customFormat="1" ht="10.5" customHeight="1">
      <c r="A47" s="86"/>
      <c r="B47" s="86"/>
      <c r="C47" s="86"/>
      <c r="D47" s="86"/>
      <c r="E47" s="86"/>
      <c r="F47" s="86"/>
      <c r="G47" s="86"/>
      <c r="H47" s="74"/>
    </row>
    <row r="48" spans="1:8" s="41" customFormat="1" ht="6.75" customHeight="1">
      <c r="A48" s="86"/>
      <c r="B48" s="86"/>
      <c r="C48" s="86"/>
      <c r="D48" s="86"/>
      <c r="E48" s="86"/>
      <c r="F48" s="86"/>
      <c r="G48" s="86"/>
    </row>
    <row r="55" spans="1:7">
      <c r="A55" s="85"/>
      <c r="B55" s="85"/>
      <c r="C55" s="85"/>
      <c r="D55" s="85"/>
      <c r="E55" s="85"/>
      <c r="F55" s="85"/>
      <c r="G55" s="85"/>
    </row>
  </sheetData>
  <sortState xmlns:xlrd2="http://schemas.microsoft.com/office/spreadsheetml/2017/richdata2" ref="F5:G12">
    <sortCondition descending="1" ref="F5:F12"/>
  </sortState>
  <printOptions horizontalCentered="1"/>
  <pageMargins left="0.45" right="0.45" top="0.25" bottom="0.5" header="0.3" footer="0.3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2D602A"/>
  </sheetPr>
  <dimension ref="A1:AY79"/>
  <sheetViews>
    <sheetView showGridLines="0" workbookViewId="0">
      <selection activeCell="S7" sqref="S7"/>
    </sheetView>
  </sheetViews>
  <sheetFormatPr defaultRowHeight="12.75"/>
  <cols>
    <col min="1" max="1" width="14" bestFit="1" customWidth="1"/>
    <col min="2" max="2" width="29.7109375" customWidth="1"/>
    <col min="3" max="12" width="0" hidden="1" customWidth="1"/>
    <col min="14" max="14" width="9.85546875" bestFit="1" customWidth="1"/>
  </cols>
  <sheetData>
    <row r="1" spans="1:20" ht="13.5">
      <c r="A1" s="87" t="s">
        <v>91</v>
      </c>
      <c r="B1" s="33" t="s">
        <v>77</v>
      </c>
      <c r="C1" s="88" t="s">
        <v>94</v>
      </c>
      <c r="D1" s="89" t="s">
        <v>95</v>
      </c>
      <c r="E1" s="89" t="s">
        <v>96</v>
      </c>
      <c r="F1" s="89" t="s">
        <v>97</v>
      </c>
      <c r="G1" s="89" t="s">
        <v>98</v>
      </c>
      <c r="H1" s="89" t="s">
        <v>99</v>
      </c>
      <c r="I1" s="89" t="s">
        <v>100</v>
      </c>
      <c r="J1" s="90" t="s">
        <v>101</v>
      </c>
      <c r="K1" s="90" t="s">
        <v>102</v>
      </c>
      <c r="L1" s="90" t="s">
        <v>108</v>
      </c>
      <c r="M1" s="90" t="s">
        <v>112</v>
      </c>
      <c r="N1" s="90" t="s">
        <v>115</v>
      </c>
      <c r="O1" s="90" t="s">
        <v>142</v>
      </c>
      <c r="P1" s="90" t="s">
        <v>141</v>
      </c>
      <c r="Q1" s="90" t="s">
        <v>146</v>
      </c>
      <c r="R1" s="90" t="s">
        <v>149</v>
      </c>
      <c r="S1" s="90" t="s">
        <v>154</v>
      </c>
    </row>
    <row r="2" spans="1:20">
      <c r="A2" s="75" t="s">
        <v>81</v>
      </c>
      <c r="B2" s="35" t="s">
        <v>104</v>
      </c>
      <c r="C2" s="43">
        <v>609412</v>
      </c>
      <c r="D2" s="61">
        <v>634669</v>
      </c>
      <c r="E2" s="61">
        <v>663954</v>
      </c>
      <c r="F2" s="61">
        <v>681034</v>
      </c>
      <c r="G2" s="61">
        <v>723841</v>
      </c>
      <c r="H2" s="61">
        <v>762148</v>
      </c>
      <c r="I2" s="61">
        <v>816235</v>
      </c>
      <c r="J2" s="61">
        <v>854434.71</v>
      </c>
      <c r="K2" s="61">
        <v>882547.82999999984</v>
      </c>
      <c r="L2" s="61">
        <v>895711.52760000003</v>
      </c>
      <c r="M2" s="61">
        <v>881189.10000000009</v>
      </c>
      <c r="N2" s="61">
        <v>860729.81199999992</v>
      </c>
      <c r="O2" s="100">
        <f>O7</f>
        <v>820850</v>
      </c>
      <c r="P2" s="100">
        <f>P7</f>
        <v>789488</v>
      </c>
      <c r="Q2" s="100">
        <f>Q7</f>
        <v>739474.04799999995</v>
      </c>
      <c r="R2" s="100">
        <f>R7</f>
        <v>726716</v>
      </c>
      <c r="S2" s="100">
        <f>S7</f>
        <v>735093</v>
      </c>
    </row>
    <row r="3" spans="1:20">
      <c r="A3" s="76"/>
      <c r="B3" s="92"/>
      <c r="C3" s="82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20">
      <c r="A4" s="76"/>
      <c r="B4" s="92"/>
      <c r="C4" s="88" t="s">
        <v>94</v>
      </c>
      <c r="D4" s="89" t="s">
        <v>95</v>
      </c>
      <c r="E4" s="89" t="s">
        <v>96</v>
      </c>
      <c r="F4" s="89" t="s">
        <v>97</v>
      </c>
      <c r="G4" s="89" t="s">
        <v>98</v>
      </c>
      <c r="H4" s="89" t="s">
        <v>99</v>
      </c>
      <c r="I4" s="89" t="s">
        <v>100</v>
      </c>
      <c r="J4" s="90" t="s">
        <v>101</v>
      </c>
      <c r="K4" s="90" t="s">
        <v>102</v>
      </c>
      <c r="L4" s="90" t="s">
        <v>108</v>
      </c>
      <c r="M4" s="90" t="s">
        <v>112</v>
      </c>
      <c r="N4" s="90" t="s">
        <v>115</v>
      </c>
      <c r="O4" s="90" t="s">
        <v>142</v>
      </c>
      <c r="P4" s="90" t="s">
        <v>141</v>
      </c>
      <c r="Q4" s="90" t="s">
        <v>146</v>
      </c>
      <c r="R4" s="90" t="s">
        <v>149</v>
      </c>
      <c r="S4" s="90" t="s">
        <v>154</v>
      </c>
    </row>
    <row r="5" spans="1:20">
      <c r="A5" t="s">
        <v>105</v>
      </c>
      <c r="C5" s="43">
        <v>357221</v>
      </c>
      <c r="D5" s="61">
        <v>378681</v>
      </c>
      <c r="E5" s="61">
        <v>392835</v>
      </c>
      <c r="F5" s="61">
        <v>401307</v>
      </c>
      <c r="G5" s="61">
        <v>426002</v>
      </c>
      <c r="H5" s="61">
        <v>453376</v>
      </c>
      <c r="I5" s="61">
        <v>490161</v>
      </c>
      <c r="J5" s="61">
        <v>508499.94</v>
      </c>
      <c r="K5" s="61">
        <v>518002.97</v>
      </c>
      <c r="L5" s="61">
        <v>514874.53460000001</v>
      </c>
      <c r="M5" s="61">
        <v>494249.44</v>
      </c>
      <c r="N5" s="61">
        <v>476343.34599999996</v>
      </c>
      <c r="O5" s="61">
        <v>450308</v>
      </c>
      <c r="P5" s="61">
        <v>420750</v>
      </c>
      <c r="Q5" s="61">
        <v>394724.81900000002</v>
      </c>
      <c r="R5" s="61">
        <v>396438</v>
      </c>
      <c r="S5" s="61">
        <v>402495</v>
      </c>
      <c r="T5" s="35" t="s">
        <v>34</v>
      </c>
    </row>
    <row r="6" spans="1:20" ht="13.5" thickBot="1">
      <c r="A6" t="s">
        <v>106</v>
      </c>
      <c r="C6" s="94">
        <v>252191</v>
      </c>
      <c r="D6" s="95">
        <v>255988</v>
      </c>
      <c r="E6" s="95">
        <v>271119</v>
      </c>
      <c r="F6" s="95">
        <v>279727</v>
      </c>
      <c r="G6" s="95">
        <v>297839</v>
      </c>
      <c r="H6" s="95">
        <v>308772</v>
      </c>
      <c r="I6" s="95">
        <v>326074</v>
      </c>
      <c r="J6" s="95">
        <v>345934.77</v>
      </c>
      <c r="K6" s="95">
        <v>364544.85999999993</v>
      </c>
      <c r="L6" s="95">
        <v>380836.99300000002</v>
      </c>
      <c r="M6" s="95">
        <v>386939.66000000003</v>
      </c>
      <c r="N6" s="95">
        <v>384386.46600000001</v>
      </c>
      <c r="O6" s="95">
        <v>370542</v>
      </c>
      <c r="P6" s="95">
        <v>368738</v>
      </c>
      <c r="Q6" s="137">
        <v>344749.22899999999</v>
      </c>
      <c r="R6" s="137">
        <v>330278</v>
      </c>
      <c r="S6" s="137">
        <v>332598</v>
      </c>
      <c r="T6" s="35" t="s">
        <v>35</v>
      </c>
    </row>
    <row r="7" spans="1:20">
      <c r="A7" t="s">
        <v>20</v>
      </c>
      <c r="C7" s="43">
        <f t="shared" ref="C7:K7" si="0">SUM(C5:C6)</f>
        <v>609412</v>
      </c>
      <c r="D7" s="61">
        <f t="shared" si="0"/>
        <v>634669</v>
      </c>
      <c r="E7" s="61">
        <f t="shared" si="0"/>
        <v>663954</v>
      </c>
      <c r="F7" s="61">
        <f t="shared" si="0"/>
        <v>681034</v>
      </c>
      <c r="G7" s="61">
        <f t="shared" si="0"/>
        <v>723841</v>
      </c>
      <c r="H7" s="61">
        <f t="shared" si="0"/>
        <v>762148</v>
      </c>
      <c r="I7" s="61">
        <f t="shared" si="0"/>
        <v>816235</v>
      </c>
      <c r="J7" s="61">
        <f t="shared" si="0"/>
        <v>854434.71</v>
      </c>
      <c r="K7" s="61">
        <f t="shared" si="0"/>
        <v>882547.82999999984</v>
      </c>
      <c r="L7" s="61">
        <f>SUM(L5:L6)</f>
        <v>895711.52760000003</v>
      </c>
      <c r="M7" s="61">
        <f>SUM(M5:M6)</f>
        <v>881189.10000000009</v>
      </c>
      <c r="N7" s="61">
        <f t="shared" ref="N7:O7" si="1">SUM(N5:N6)</f>
        <v>860729.81199999992</v>
      </c>
      <c r="O7" s="61">
        <f t="shared" si="1"/>
        <v>820850</v>
      </c>
      <c r="P7" s="61">
        <f>SUM(P5:P6)</f>
        <v>789488</v>
      </c>
      <c r="Q7" s="61">
        <f>SUM(Q5:Q6)</f>
        <v>739474.04799999995</v>
      </c>
      <c r="R7" s="61">
        <f>SUM(R5:R6)</f>
        <v>726716</v>
      </c>
      <c r="S7" s="61">
        <f>SUM(S5:S6)</f>
        <v>735093</v>
      </c>
    </row>
    <row r="58" spans="1:51">
      <c r="B58" s="96"/>
    </row>
    <row r="59" spans="1:51" s="33" customFormat="1" ht="12.75" customHeight="1">
      <c r="A59" s="33" t="s">
        <v>77</v>
      </c>
      <c r="B59" s="88" t="s">
        <v>93</v>
      </c>
      <c r="C59" s="88" t="s">
        <v>95</v>
      </c>
      <c r="D59" s="88" t="s">
        <v>96</v>
      </c>
      <c r="E59" s="88" t="s">
        <v>97</v>
      </c>
      <c r="F59" s="88" t="s">
        <v>98</v>
      </c>
      <c r="G59" s="88" t="s">
        <v>99</v>
      </c>
      <c r="H59" s="88" t="s">
        <v>100</v>
      </c>
      <c r="I59" s="97" t="s">
        <v>101</v>
      </c>
      <c r="J59" s="97" t="s">
        <v>102</v>
      </c>
      <c r="K59" s="97" t="s">
        <v>108</v>
      </c>
      <c r="L59" s="114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</row>
    <row r="60" spans="1:51" s="35" customFormat="1" ht="10.5" customHeight="1">
      <c r="A60" s="35" t="s">
        <v>104</v>
      </c>
      <c r="B60" s="98">
        <v>592796</v>
      </c>
      <c r="C60" s="99">
        <v>634669</v>
      </c>
      <c r="D60" s="99">
        <v>663954</v>
      </c>
      <c r="E60" s="99">
        <v>681034</v>
      </c>
      <c r="F60" s="99">
        <v>723841</v>
      </c>
      <c r="G60" s="99">
        <v>762148</v>
      </c>
      <c r="H60" s="99">
        <v>816235</v>
      </c>
      <c r="I60" s="99">
        <v>854434.71</v>
      </c>
      <c r="J60" s="99">
        <v>882547.82999999984</v>
      </c>
      <c r="K60" s="99">
        <v>895711.52759999991</v>
      </c>
      <c r="L60" s="99"/>
      <c r="M60" s="74"/>
    </row>
    <row r="76" spans="1:13">
      <c r="A76" t="s">
        <v>110</v>
      </c>
    </row>
    <row r="77" spans="1:13">
      <c r="A77" t="s">
        <v>109</v>
      </c>
    </row>
    <row r="78" spans="1:13">
      <c r="A78" s="76" t="s">
        <v>81</v>
      </c>
      <c r="B78" s="92" t="s">
        <v>9</v>
      </c>
      <c r="C78" s="82">
        <v>333566</v>
      </c>
      <c r="D78" s="83">
        <v>348309</v>
      </c>
      <c r="E78" s="83">
        <v>355568</v>
      </c>
      <c r="F78" s="83">
        <v>361966</v>
      </c>
      <c r="G78" s="83">
        <v>379796</v>
      </c>
      <c r="H78" s="83">
        <v>387040</v>
      </c>
      <c r="I78" s="83">
        <v>416019</v>
      </c>
      <c r="J78" s="83">
        <v>437142.53</v>
      </c>
      <c r="K78" s="83">
        <v>445653.69</v>
      </c>
      <c r="L78" s="83"/>
      <c r="M78" s="83">
        <v>445653.69</v>
      </c>
    </row>
    <row r="79" spans="1:13">
      <c r="A79" s="37" t="s">
        <v>36</v>
      </c>
      <c r="B79" s="92" t="s">
        <v>9</v>
      </c>
      <c r="C79" s="80">
        <v>24967</v>
      </c>
      <c r="D79" s="81">
        <v>24928</v>
      </c>
      <c r="E79" s="81">
        <v>25421</v>
      </c>
      <c r="F79" s="81">
        <v>25117</v>
      </c>
      <c r="G79" s="81">
        <v>22729</v>
      </c>
      <c r="H79" s="81">
        <v>22156</v>
      </c>
      <c r="I79" s="81">
        <v>22000</v>
      </c>
      <c r="J79" s="81">
        <v>22033.27</v>
      </c>
      <c r="K79" s="81">
        <v>22910.29</v>
      </c>
      <c r="L79" s="81"/>
      <c r="M79" s="81">
        <v>22910.29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499984740745262"/>
  </sheetPr>
  <dimension ref="A1:R69"/>
  <sheetViews>
    <sheetView showGridLines="0" workbookViewId="0">
      <selection activeCell="R10" sqref="R10"/>
    </sheetView>
  </sheetViews>
  <sheetFormatPr defaultRowHeight="12.75"/>
  <cols>
    <col min="1" max="1" width="14" bestFit="1" customWidth="1"/>
    <col min="2" max="2" width="29.7109375" customWidth="1"/>
    <col min="3" max="6" width="0" hidden="1" customWidth="1"/>
  </cols>
  <sheetData>
    <row r="1" spans="1:18">
      <c r="A1" s="140" t="s">
        <v>116</v>
      </c>
    </row>
    <row r="3" spans="1:18">
      <c r="A3" s="87" t="s">
        <v>91</v>
      </c>
      <c r="B3" s="33" t="s">
        <v>92</v>
      </c>
      <c r="C3" s="89" t="s">
        <v>95</v>
      </c>
      <c r="D3" s="89" t="s">
        <v>96</v>
      </c>
      <c r="E3" s="89" t="s">
        <v>97</v>
      </c>
      <c r="F3" s="89" t="s">
        <v>98</v>
      </c>
      <c r="G3" s="89" t="s">
        <v>99</v>
      </c>
      <c r="H3" s="89" t="s">
        <v>100</v>
      </c>
      <c r="I3" s="90" t="s">
        <v>101</v>
      </c>
      <c r="J3" s="90" t="s">
        <v>102</v>
      </c>
      <c r="K3" s="90" t="s">
        <v>108</v>
      </c>
      <c r="L3" s="90" t="s">
        <v>112</v>
      </c>
      <c r="M3" s="90" t="s">
        <v>115</v>
      </c>
      <c r="N3" s="90" t="s">
        <v>142</v>
      </c>
      <c r="O3" s="90" t="s">
        <v>141</v>
      </c>
      <c r="P3" s="90" t="s">
        <v>146</v>
      </c>
      <c r="Q3" s="90" t="s">
        <v>149</v>
      </c>
      <c r="R3" s="90" t="s">
        <v>154</v>
      </c>
    </row>
    <row r="4" spans="1:18">
      <c r="A4" s="75" t="s">
        <v>81</v>
      </c>
      <c r="B4" s="91" t="s">
        <v>56</v>
      </c>
      <c r="C4" s="79">
        <v>54126</v>
      </c>
      <c r="D4" s="79">
        <v>62143</v>
      </c>
      <c r="E4" s="79">
        <v>64722</v>
      </c>
      <c r="F4" s="79">
        <v>69169</v>
      </c>
      <c r="G4" s="79">
        <v>78068</v>
      </c>
      <c r="H4" s="79">
        <v>82008</v>
      </c>
      <c r="I4" s="79">
        <v>96557.959999999992</v>
      </c>
      <c r="J4" s="79">
        <v>98944.95</v>
      </c>
      <c r="K4" s="79">
        <v>98751.122700000007</v>
      </c>
      <c r="L4" s="79">
        <v>97091.829999999987</v>
      </c>
      <c r="M4" s="79">
        <v>95139.661999999997</v>
      </c>
      <c r="N4" s="79">
        <v>94617</v>
      </c>
      <c r="O4" s="79">
        <v>90907</v>
      </c>
      <c r="P4" s="79">
        <v>88835.255999999994</v>
      </c>
      <c r="Q4" s="79">
        <v>87149</v>
      </c>
      <c r="R4" s="79">
        <v>85597</v>
      </c>
    </row>
    <row r="5" spans="1:18">
      <c r="A5" s="76" t="s">
        <v>81</v>
      </c>
      <c r="B5" s="92" t="s">
        <v>4</v>
      </c>
      <c r="C5" s="83">
        <v>55849</v>
      </c>
      <c r="D5" s="83">
        <v>58234</v>
      </c>
      <c r="E5" s="83">
        <v>55747</v>
      </c>
      <c r="F5" s="83">
        <v>59198</v>
      </c>
      <c r="G5" s="83">
        <v>62513</v>
      </c>
      <c r="H5" s="83">
        <v>66699</v>
      </c>
      <c r="I5" s="83">
        <v>68837.399999999994</v>
      </c>
      <c r="J5" s="83">
        <v>75306.290000000008</v>
      </c>
      <c r="K5" s="83">
        <v>80738.149999999994</v>
      </c>
      <c r="L5" s="119">
        <v>83665.5</v>
      </c>
      <c r="M5" s="119">
        <v>84827.7</v>
      </c>
      <c r="N5" s="119">
        <v>82054</v>
      </c>
      <c r="O5" s="119">
        <v>85094</v>
      </c>
      <c r="P5" s="119">
        <v>78922</v>
      </c>
      <c r="Q5" s="119">
        <v>75887</v>
      </c>
      <c r="R5" s="119">
        <v>83187</v>
      </c>
    </row>
    <row r="6" spans="1:18">
      <c r="A6" s="75" t="s">
        <v>81</v>
      </c>
      <c r="B6" s="91" t="s">
        <v>5</v>
      </c>
      <c r="C6" s="79">
        <v>34304</v>
      </c>
      <c r="D6" s="79">
        <v>36700</v>
      </c>
      <c r="E6" s="79">
        <v>37100</v>
      </c>
      <c r="F6" s="79">
        <v>38341</v>
      </c>
      <c r="G6" s="79">
        <v>37527</v>
      </c>
      <c r="H6" s="79">
        <v>38237</v>
      </c>
      <c r="I6" s="79">
        <v>38250.210000000006</v>
      </c>
      <c r="J6" s="79">
        <v>39154.82</v>
      </c>
      <c r="K6" s="79">
        <v>39447.339999999997</v>
      </c>
      <c r="L6" s="117">
        <v>39849.25</v>
      </c>
      <c r="M6" s="117">
        <v>38176.43</v>
      </c>
      <c r="N6" s="117">
        <v>39094</v>
      </c>
      <c r="O6" s="117">
        <v>39146</v>
      </c>
      <c r="P6" s="117">
        <v>40125.620000000003</v>
      </c>
      <c r="Q6" s="117">
        <v>40491</v>
      </c>
      <c r="R6" s="117">
        <v>42248</v>
      </c>
    </row>
    <row r="7" spans="1:18">
      <c r="A7" s="76" t="s">
        <v>81</v>
      </c>
      <c r="B7" s="92" t="s">
        <v>7</v>
      </c>
      <c r="C7" s="83">
        <v>65639</v>
      </c>
      <c r="D7" s="83">
        <v>70483</v>
      </c>
      <c r="E7" s="83">
        <v>75584</v>
      </c>
      <c r="F7" s="83">
        <v>83983</v>
      </c>
      <c r="G7" s="83">
        <v>91384</v>
      </c>
      <c r="H7" s="83">
        <v>97881</v>
      </c>
      <c r="I7" s="83">
        <v>102114.42</v>
      </c>
      <c r="J7" s="83">
        <v>109416.59</v>
      </c>
      <c r="K7" s="83">
        <v>115228.603</v>
      </c>
      <c r="L7" s="83">
        <v>118103.75</v>
      </c>
      <c r="M7" s="83">
        <v>119302.995</v>
      </c>
      <c r="N7" s="83">
        <v>112407</v>
      </c>
      <c r="O7" s="83">
        <v>109468</v>
      </c>
      <c r="P7" s="83">
        <v>96788.880999999994</v>
      </c>
      <c r="Q7" s="83">
        <v>93181</v>
      </c>
      <c r="R7" s="83">
        <v>95574</v>
      </c>
    </row>
    <row r="8" spans="1:18">
      <c r="A8" s="75" t="s">
        <v>81</v>
      </c>
      <c r="B8" s="91" t="s">
        <v>54</v>
      </c>
      <c r="C8" s="79">
        <v>67074</v>
      </c>
      <c r="D8" s="79">
        <v>72434</v>
      </c>
      <c r="E8" s="79">
        <v>76540</v>
      </c>
      <c r="F8" s="79">
        <v>82203</v>
      </c>
      <c r="G8" s="79">
        <v>89364</v>
      </c>
      <c r="H8" s="79">
        <v>96719</v>
      </c>
      <c r="I8" s="79">
        <v>102030.75</v>
      </c>
      <c r="J8" s="79">
        <v>104526.39</v>
      </c>
      <c r="K8" s="79">
        <v>99360.868000000002</v>
      </c>
      <c r="L8" s="79">
        <v>99386.97</v>
      </c>
      <c r="M8" s="79">
        <v>95130.21100000001</v>
      </c>
      <c r="N8" s="79">
        <v>90174</v>
      </c>
      <c r="O8" s="79">
        <v>84737</v>
      </c>
      <c r="P8" s="79">
        <v>79211.194000000003</v>
      </c>
      <c r="Q8" s="79">
        <v>77027</v>
      </c>
      <c r="R8" s="79">
        <v>76808</v>
      </c>
    </row>
    <row r="9" spans="1:18">
      <c r="A9" s="76" t="s">
        <v>81</v>
      </c>
      <c r="B9" s="92" t="s">
        <v>9</v>
      </c>
      <c r="C9" s="83">
        <v>348309</v>
      </c>
      <c r="D9" s="83">
        <v>355568</v>
      </c>
      <c r="E9" s="83">
        <v>361966</v>
      </c>
      <c r="F9" s="83">
        <v>379796</v>
      </c>
      <c r="G9" s="83">
        <v>387040</v>
      </c>
      <c r="H9" s="83">
        <v>416019</v>
      </c>
      <c r="I9" s="83">
        <v>437142.53</v>
      </c>
      <c r="J9" s="83">
        <v>445653.69</v>
      </c>
      <c r="K9" s="83">
        <v>452950.69390000001</v>
      </c>
      <c r="L9" s="83">
        <v>433996.53</v>
      </c>
      <c r="M9" s="83">
        <v>419555.12299999996</v>
      </c>
      <c r="N9" s="83">
        <v>394155</v>
      </c>
      <c r="O9" s="83">
        <v>372317</v>
      </c>
      <c r="P9" s="83">
        <v>347248.81699999998</v>
      </c>
      <c r="Q9" s="83">
        <v>344809</v>
      </c>
      <c r="R9" s="83">
        <v>343531</v>
      </c>
    </row>
    <row r="10" spans="1:18">
      <c r="A10" s="76"/>
      <c r="B10" s="92"/>
      <c r="C10" s="82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</row>
    <row r="11" spans="1:18">
      <c r="A11" s="76"/>
      <c r="B11" s="92"/>
      <c r="C11" s="82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</row>
    <row r="12" spans="1:18">
      <c r="A12" s="76"/>
      <c r="B12" s="92"/>
      <c r="C12" s="82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</row>
    <row r="14" spans="1:18">
      <c r="K14" s="100"/>
      <c r="L14" s="100"/>
      <c r="M14" s="100"/>
    </row>
    <row r="38" spans="2:2">
      <c r="B38" s="93" t="s">
        <v>103</v>
      </c>
    </row>
    <row r="66" spans="1:14">
      <c r="A66" t="s">
        <v>110</v>
      </c>
    </row>
    <row r="67" spans="1:14">
      <c r="A67" t="s">
        <v>109</v>
      </c>
    </row>
    <row r="68" spans="1:14">
      <c r="A68" s="76" t="s">
        <v>81</v>
      </c>
      <c r="B68" s="92" t="s">
        <v>9</v>
      </c>
      <c r="C68" s="82">
        <v>333566</v>
      </c>
      <c r="D68" s="83">
        <v>348309</v>
      </c>
      <c r="E68" s="83">
        <v>355568</v>
      </c>
      <c r="F68" s="83">
        <v>361966</v>
      </c>
      <c r="G68" s="83">
        <v>379796</v>
      </c>
      <c r="H68" s="83">
        <v>387040</v>
      </c>
      <c r="I68" s="83">
        <v>416019</v>
      </c>
      <c r="J68" s="83">
        <v>437142.53</v>
      </c>
      <c r="K68" s="83">
        <v>445653.69</v>
      </c>
      <c r="L68" s="83"/>
      <c r="M68" s="83">
        <v>445653.69</v>
      </c>
      <c r="N68" s="83">
        <v>445653.69</v>
      </c>
    </row>
    <row r="69" spans="1:14">
      <c r="A69" s="37" t="s">
        <v>36</v>
      </c>
      <c r="B69" s="92" t="s">
        <v>9</v>
      </c>
      <c r="C69" s="80">
        <v>24967</v>
      </c>
      <c r="D69" s="81">
        <v>24928</v>
      </c>
      <c r="E69" s="81">
        <v>25421</v>
      </c>
      <c r="F69" s="81">
        <v>25117</v>
      </c>
      <c r="G69" s="81">
        <v>22729</v>
      </c>
      <c r="H69" s="81">
        <v>22156</v>
      </c>
      <c r="I69" s="81">
        <v>22000</v>
      </c>
      <c r="J69" s="81">
        <v>22033.27</v>
      </c>
      <c r="K69" s="81">
        <v>22910.29</v>
      </c>
      <c r="L69" s="81"/>
      <c r="M69" s="81">
        <v>22910.29</v>
      </c>
      <c r="N69" s="81">
        <v>22910.29</v>
      </c>
    </row>
  </sheetData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2D602A"/>
  </sheetPr>
  <dimension ref="A1:S62"/>
  <sheetViews>
    <sheetView showGridLines="0" workbookViewId="0">
      <selection activeCell="S6" sqref="S6"/>
    </sheetView>
  </sheetViews>
  <sheetFormatPr defaultRowHeight="12.75"/>
  <cols>
    <col min="1" max="1" width="14" bestFit="1" customWidth="1"/>
    <col min="2" max="2" width="29.7109375" customWidth="1"/>
    <col min="3" max="12" width="0" hidden="1" customWidth="1"/>
    <col min="14" max="14" width="9.42578125" bestFit="1" customWidth="1"/>
  </cols>
  <sheetData>
    <row r="1" spans="1:19">
      <c r="A1" s="76"/>
      <c r="B1" s="92"/>
      <c r="C1" s="82"/>
      <c r="D1" s="83"/>
      <c r="E1" s="83"/>
      <c r="F1" s="83"/>
      <c r="G1" s="83"/>
      <c r="H1" s="83"/>
      <c r="I1" s="83"/>
      <c r="J1" s="83"/>
      <c r="K1" s="83"/>
      <c r="L1" s="83"/>
    </row>
    <row r="2" spans="1:19">
      <c r="A2" s="76"/>
      <c r="B2" s="92"/>
      <c r="C2" s="82"/>
      <c r="D2" s="83"/>
      <c r="E2" s="83"/>
      <c r="F2" s="83"/>
      <c r="G2" s="83"/>
      <c r="H2" s="83"/>
      <c r="I2" s="83"/>
      <c r="J2" s="83"/>
      <c r="K2" s="83"/>
      <c r="L2" s="83"/>
    </row>
    <row r="3" spans="1:19">
      <c r="A3" s="76"/>
      <c r="B3" s="92"/>
      <c r="C3" s="82"/>
      <c r="D3" s="83"/>
      <c r="E3" s="83"/>
      <c r="F3" s="83"/>
      <c r="G3" s="83"/>
      <c r="H3" s="83"/>
      <c r="I3" s="83"/>
      <c r="J3" s="83"/>
      <c r="K3" s="83"/>
      <c r="L3" s="83"/>
    </row>
    <row r="4" spans="1:19">
      <c r="A4" s="87" t="s">
        <v>91</v>
      </c>
      <c r="B4" s="33" t="s">
        <v>92</v>
      </c>
      <c r="C4" s="88" t="s">
        <v>94</v>
      </c>
      <c r="D4" s="89" t="s">
        <v>95</v>
      </c>
      <c r="E4" s="89" t="s">
        <v>96</v>
      </c>
      <c r="F4" s="89" t="s">
        <v>97</v>
      </c>
      <c r="G4" s="89" t="s">
        <v>98</v>
      </c>
      <c r="H4" s="89" t="s">
        <v>99</v>
      </c>
      <c r="I4" s="89" t="s">
        <v>100</v>
      </c>
      <c r="J4" s="90" t="s">
        <v>101</v>
      </c>
      <c r="K4" s="90" t="s">
        <v>102</v>
      </c>
      <c r="L4" s="90" t="s">
        <v>108</v>
      </c>
      <c r="M4" s="90" t="s">
        <v>112</v>
      </c>
      <c r="N4" s="90" t="s">
        <v>115</v>
      </c>
      <c r="O4" s="90" t="s">
        <v>142</v>
      </c>
      <c r="P4" s="90" t="s">
        <v>141</v>
      </c>
      <c r="Q4" s="90" t="s">
        <v>146</v>
      </c>
      <c r="R4" s="90" t="s">
        <v>149</v>
      </c>
      <c r="S4" s="90" t="s">
        <v>154</v>
      </c>
    </row>
    <row r="5" spans="1:19" s="35" customFormat="1" ht="10.5" customHeight="1">
      <c r="A5" s="35" t="s">
        <v>36</v>
      </c>
      <c r="B5" s="35" t="s">
        <v>20</v>
      </c>
      <c r="C5" s="43">
        <v>72451</v>
      </c>
      <c r="D5" s="61">
        <v>74687</v>
      </c>
      <c r="E5" s="61">
        <v>79370</v>
      </c>
      <c r="F5" s="61">
        <v>80669</v>
      </c>
      <c r="G5" s="61">
        <v>76869</v>
      </c>
      <c r="H5" s="61">
        <v>78173</v>
      </c>
      <c r="I5" s="61">
        <v>81196</v>
      </c>
      <c r="J5" s="61">
        <v>82751.22</v>
      </c>
      <c r="K5" s="61">
        <v>85173.390000000014</v>
      </c>
      <c r="L5" s="61">
        <v>82432.16339999999</v>
      </c>
      <c r="M5" s="61">
        <v>80586.48000000001</v>
      </c>
      <c r="N5" s="61">
        <v>77426.736999999994</v>
      </c>
      <c r="O5" s="61">
        <v>72668</v>
      </c>
      <c r="P5" s="61">
        <v>72005</v>
      </c>
      <c r="Q5" s="194">
        <v>69354.989000000001</v>
      </c>
      <c r="R5" s="194">
        <v>67708</v>
      </c>
      <c r="S5" s="194">
        <v>71113</v>
      </c>
    </row>
    <row r="59" spans="1:12">
      <c r="A59" t="s">
        <v>110</v>
      </c>
    </row>
    <row r="60" spans="1:12">
      <c r="A60" t="s">
        <v>109</v>
      </c>
    </row>
    <row r="61" spans="1:12">
      <c r="A61" s="76" t="s">
        <v>81</v>
      </c>
      <c r="B61" s="92" t="s">
        <v>9</v>
      </c>
      <c r="C61" s="82">
        <v>333566</v>
      </c>
      <c r="D61" s="83">
        <v>348309</v>
      </c>
      <c r="E61" s="83">
        <v>355568</v>
      </c>
      <c r="F61" s="83">
        <v>361966</v>
      </c>
      <c r="G61" s="83">
        <v>379796</v>
      </c>
      <c r="H61" s="83">
        <v>387040</v>
      </c>
      <c r="I61" s="83">
        <v>416019</v>
      </c>
      <c r="J61" s="83">
        <v>437142.53</v>
      </c>
      <c r="K61" s="83">
        <v>445653.69</v>
      </c>
      <c r="L61" s="83"/>
    </row>
    <row r="62" spans="1:12">
      <c r="A62" s="37" t="s">
        <v>36</v>
      </c>
      <c r="B62" s="92" t="s">
        <v>9</v>
      </c>
      <c r="C62" s="80">
        <v>24967</v>
      </c>
      <c r="D62" s="81">
        <v>24928</v>
      </c>
      <c r="E62" s="81">
        <v>25421</v>
      </c>
      <c r="F62" s="81">
        <v>25117</v>
      </c>
      <c r="G62" s="81">
        <v>22729</v>
      </c>
      <c r="H62" s="81">
        <v>22156</v>
      </c>
      <c r="I62" s="81">
        <v>22000</v>
      </c>
      <c r="J62" s="81">
        <v>22033.27</v>
      </c>
      <c r="K62" s="81">
        <v>22910.29</v>
      </c>
      <c r="L62" s="8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499984740745262"/>
  </sheetPr>
  <dimension ref="A1:R49"/>
  <sheetViews>
    <sheetView showGridLines="0" workbookViewId="0">
      <selection activeCell="R18" sqref="R18"/>
    </sheetView>
  </sheetViews>
  <sheetFormatPr defaultRowHeight="12.75"/>
  <cols>
    <col min="1" max="1" width="14" bestFit="1" customWidth="1"/>
    <col min="2" max="2" width="29.7109375" customWidth="1"/>
  </cols>
  <sheetData>
    <row r="1" spans="1:18">
      <c r="A1" s="87" t="s">
        <v>91</v>
      </c>
      <c r="B1" s="33" t="s">
        <v>92</v>
      </c>
      <c r="C1" s="89" t="s">
        <v>95</v>
      </c>
      <c r="D1" s="89" t="s">
        <v>96</v>
      </c>
      <c r="E1" s="89" t="s">
        <v>97</v>
      </c>
      <c r="F1" s="89" t="s">
        <v>98</v>
      </c>
      <c r="G1" s="89" t="s">
        <v>99</v>
      </c>
      <c r="H1" s="89" t="s">
        <v>100</v>
      </c>
      <c r="I1" s="90" t="s">
        <v>101</v>
      </c>
      <c r="J1" s="90" t="s">
        <v>102</v>
      </c>
      <c r="K1" s="90" t="s">
        <v>108</v>
      </c>
      <c r="L1" s="90" t="s">
        <v>112</v>
      </c>
      <c r="M1" s="90" t="s">
        <v>115</v>
      </c>
      <c r="N1" s="90" t="s">
        <v>142</v>
      </c>
      <c r="O1" s="90" t="s">
        <v>141</v>
      </c>
    </row>
    <row r="2" spans="1:18">
      <c r="A2" s="75" t="s">
        <v>81</v>
      </c>
      <c r="B2" s="91" t="s">
        <v>56</v>
      </c>
      <c r="C2" s="79">
        <v>54126</v>
      </c>
      <c r="D2" s="79">
        <v>62143</v>
      </c>
      <c r="E2" s="79">
        <v>64722</v>
      </c>
      <c r="F2" s="79">
        <v>69169</v>
      </c>
      <c r="G2" s="79">
        <v>78068</v>
      </c>
      <c r="H2" s="79">
        <v>82008</v>
      </c>
      <c r="I2" s="79">
        <v>96557.959999999992</v>
      </c>
      <c r="J2" s="79">
        <v>98944.95</v>
      </c>
      <c r="K2" s="79">
        <v>98751.122700000007</v>
      </c>
      <c r="L2" s="79">
        <v>97091.829999999987</v>
      </c>
      <c r="M2" s="79">
        <v>95139.661999999997</v>
      </c>
      <c r="N2" s="79">
        <v>94617</v>
      </c>
      <c r="O2" s="79">
        <v>90907</v>
      </c>
    </row>
    <row r="3" spans="1:18">
      <c r="A3" s="76" t="s">
        <v>81</v>
      </c>
      <c r="B3" s="92" t="s">
        <v>4</v>
      </c>
      <c r="C3" s="83">
        <v>55849</v>
      </c>
      <c r="D3" s="83">
        <v>58234</v>
      </c>
      <c r="E3" s="83">
        <v>55747</v>
      </c>
      <c r="F3" s="83">
        <v>59198</v>
      </c>
      <c r="G3" s="83">
        <v>62513</v>
      </c>
      <c r="H3" s="83">
        <v>66699</v>
      </c>
      <c r="I3" s="83">
        <v>68837.399999999994</v>
      </c>
      <c r="J3" s="83">
        <v>75306.290000000008</v>
      </c>
      <c r="K3" s="83">
        <v>80738.149999999994</v>
      </c>
      <c r="L3" s="119">
        <v>83665.5</v>
      </c>
      <c r="M3" s="119">
        <v>84827.7</v>
      </c>
      <c r="N3" s="119">
        <v>82054</v>
      </c>
      <c r="O3" s="119">
        <v>85094</v>
      </c>
    </row>
    <row r="4" spans="1:18">
      <c r="A4" s="75" t="s">
        <v>81</v>
      </c>
      <c r="B4" s="91" t="s">
        <v>5</v>
      </c>
      <c r="C4" s="79">
        <v>34304</v>
      </c>
      <c r="D4" s="79">
        <v>36700</v>
      </c>
      <c r="E4" s="79">
        <v>37100</v>
      </c>
      <c r="F4" s="79">
        <v>38341</v>
      </c>
      <c r="G4" s="79">
        <v>37527</v>
      </c>
      <c r="H4" s="79">
        <v>38237</v>
      </c>
      <c r="I4" s="79">
        <v>38250.210000000006</v>
      </c>
      <c r="J4" s="79">
        <v>39154.82</v>
      </c>
      <c r="K4" s="79">
        <v>39447.339999999997</v>
      </c>
      <c r="L4" s="117">
        <v>39849.25</v>
      </c>
      <c r="M4" s="117">
        <v>38176.43</v>
      </c>
      <c r="N4" s="117">
        <v>39094</v>
      </c>
      <c r="O4" s="117">
        <v>39146</v>
      </c>
    </row>
    <row r="5" spans="1:18">
      <c r="A5" s="76" t="s">
        <v>81</v>
      </c>
      <c r="B5" s="92" t="s">
        <v>7</v>
      </c>
      <c r="C5" s="83">
        <v>65639</v>
      </c>
      <c r="D5" s="83">
        <v>70483</v>
      </c>
      <c r="E5" s="83">
        <v>75584</v>
      </c>
      <c r="F5" s="83">
        <v>83983</v>
      </c>
      <c r="G5" s="83">
        <v>91384</v>
      </c>
      <c r="H5" s="83">
        <v>97881</v>
      </c>
      <c r="I5" s="83">
        <v>102114.42</v>
      </c>
      <c r="J5" s="83">
        <v>109416.59</v>
      </c>
      <c r="K5" s="83">
        <v>115228.603</v>
      </c>
      <c r="L5" s="83">
        <v>118103.75</v>
      </c>
      <c r="M5" s="83">
        <v>119302.995</v>
      </c>
      <c r="N5" s="83">
        <v>112407</v>
      </c>
      <c r="O5" s="83">
        <v>109468</v>
      </c>
    </row>
    <row r="6" spans="1:18">
      <c r="A6" s="75" t="s">
        <v>81</v>
      </c>
      <c r="B6" s="91" t="s">
        <v>54</v>
      </c>
      <c r="C6" s="79">
        <v>67074</v>
      </c>
      <c r="D6" s="79">
        <v>72434</v>
      </c>
      <c r="E6" s="79">
        <v>76540</v>
      </c>
      <c r="F6" s="79">
        <v>82203</v>
      </c>
      <c r="G6" s="79">
        <v>89364</v>
      </c>
      <c r="H6" s="79">
        <v>96719</v>
      </c>
      <c r="I6" s="79">
        <v>102030.75</v>
      </c>
      <c r="J6" s="79">
        <v>104526.39</v>
      </c>
      <c r="K6" s="79">
        <v>99360.868000000002</v>
      </c>
      <c r="L6" s="79">
        <v>99386.97</v>
      </c>
      <c r="M6" s="79">
        <v>95130.21100000001</v>
      </c>
      <c r="N6" s="79">
        <v>90174</v>
      </c>
      <c r="O6" s="79">
        <v>84737</v>
      </c>
    </row>
    <row r="7" spans="1:18">
      <c r="A7" s="76" t="s">
        <v>81</v>
      </c>
      <c r="B7" s="92" t="s">
        <v>9</v>
      </c>
      <c r="C7" s="83">
        <v>348309</v>
      </c>
      <c r="D7" s="83">
        <v>355568</v>
      </c>
      <c r="E7" s="83">
        <v>361966</v>
      </c>
      <c r="F7" s="83">
        <v>379796</v>
      </c>
      <c r="G7" s="83">
        <v>387040</v>
      </c>
      <c r="H7" s="83">
        <v>416019</v>
      </c>
      <c r="I7" s="83">
        <v>437142.53</v>
      </c>
      <c r="J7" s="83">
        <v>445653.69</v>
      </c>
      <c r="K7" s="83">
        <v>452950.69390000001</v>
      </c>
      <c r="L7" s="83">
        <v>433996.53</v>
      </c>
      <c r="M7" s="83">
        <v>419555.12299999996</v>
      </c>
      <c r="N7" s="83">
        <v>394155</v>
      </c>
      <c r="O7" s="83">
        <v>372317</v>
      </c>
    </row>
    <row r="8" spans="1:18">
      <c r="A8" s="76"/>
      <c r="B8" s="92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</row>
    <row r="9" spans="1:18">
      <c r="A9" s="76"/>
      <c r="B9" s="9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</row>
    <row r="10" spans="1:18">
      <c r="A10" s="76"/>
      <c r="B10" s="92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</row>
    <row r="11" spans="1:18">
      <c r="A11" s="87" t="s">
        <v>91</v>
      </c>
      <c r="B11" s="33" t="s">
        <v>92</v>
      </c>
      <c r="C11" s="89" t="s">
        <v>95</v>
      </c>
      <c r="D11" s="89" t="s">
        <v>96</v>
      </c>
      <c r="E11" s="89" t="s">
        <v>97</v>
      </c>
      <c r="F11" s="89" t="s">
        <v>98</v>
      </c>
      <c r="G11" s="89" t="s">
        <v>99</v>
      </c>
      <c r="H11" s="89" t="s">
        <v>100</v>
      </c>
      <c r="I11" s="90" t="s">
        <v>101</v>
      </c>
      <c r="J11" s="90" t="s">
        <v>102</v>
      </c>
      <c r="K11" s="90" t="s">
        <v>108</v>
      </c>
      <c r="L11" s="90" t="s">
        <v>112</v>
      </c>
      <c r="M11" s="90" t="s">
        <v>115</v>
      </c>
      <c r="N11" s="90" t="s">
        <v>142</v>
      </c>
      <c r="O11" s="90" t="s">
        <v>141</v>
      </c>
      <c r="P11" s="193" t="s">
        <v>146</v>
      </c>
      <c r="Q11" s="193" t="s">
        <v>149</v>
      </c>
      <c r="R11" s="193" t="s">
        <v>154</v>
      </c>
    </row>
    <row r="12" spans="1:18">
      <c r="A12" s="65" t="s">
        <v>36</v>
      </c>
      <c r="B12" s="91" t="s">
        <v>56</v>
      </c>
      <c r="C12" s="78">
        <v>11432</v>
      </c>
      <c r="D12" s="78">
        <v>11577</v>
      </c>
      <c r="E12" s="78">
        <v>11272</v>
      </c>
      <c r="F12" s="78">
        <v>9536</v>
      </c>
      <c r="G12" s="78">
        <v>10222</v>
      </c>
      <c r="H12" s="78">
        <v>10905</v>
      </c>
      <c r="I12" s="78">
        <v>12642.43</v>
      </c>
      <c r="J12" s="78">
        <v>12696.21</v>
      </c>
      <c r="K12" s="78">
        <v>12162.2909</v>
      </c>
      <c r="L12" s="78">
        <v>11736.58</v>
      </c>
      <c r="M12" s="78">
        <v>11428.314999999999</v>
      </c>
      <c r="N12" s="78">
        <v>10994</v>
      </c>
      <c r="O12" s="78">
        <v>10236</v>
      </c>
      <c r="P12" s="78">
        <v>10180.824000000001</v>
      </c>
      <c r="Q12" s="78">
        <v>9366</v>
      </c>
      <c r="R12" s="78">
        <v>9594</v>
      </c>
    </row>
    <row r="13" spans="1:18">
      <c r="A13" s="37" t="s">
        <v>36</v>
      </c>
      <c r="B13" s="92" t="s">
        <v>4</v>
      </c>
      <c r="C13" s="81">
        <v>4758</v>
      </c>
      <c r="D13" s="81">
        <v>4896</v>
      </c>
      <c r="E13" s="81">
        <v>4626</v>
      </c>
      <c r="F13" s="81">
        <v>4483</v>
      </c>
      <c r="G13" s="81">
        <v>3987</v>
      </c>
      <c r="H13" s="81">
        <v>4173</v>
      </c>
      <c r="I13" s="81">
        <v>4905.3999999999996</v>
      </c>
      <c r="J13" s="81">
        <v>5767.24</v>
      </c>
      <c r="K13" s="81">
        <v>5691.7</v>
      </c>
      <c r="L13" s="81">
        <v>5368.67</v>
      </c>
      <c r="M13" s="81">
        <v>5236.7</v>
      </c>
      <c r="N13" s="81">
        <v>5770</v>
      </c>
      <c r="O13" s="81">
        <v>7595</v>
      </c>
      <c r="P13" s="81">
        <v>7050</v>
      </c>
      <c r="Q13" s="81">
        <v>7518</v>
      </c>
      <c r="R13" s="81">
        <v>7586</v>
      </c>
    </row>
    <row r="14" spans="1:18">
      <c r="A14" s="65" t="s">
        <v>36</v>
      </c>
      <c r="B14" s="91" t="s">
        <v>5</v>
      </c>
      <c r="C14" s="78">
        <v>3857</v>
      </c>
      <c r="D14" s="78">
        <v>4183</v>
      </c>
      <c r="E14" s="78">
        <v>5725</v>
      </c>
      <c r="F14" s="78">
        <v>5565</v>
      </c>
      <c r="G14" s="78">
        <v>6642</v>
      </c>
      <c r="H14" s="78">
        <v>7204</v>
      </c>
      <c r="I14" s="78">
        <v>6836.25</v>
      </c>
      <c r="J14" s="78">
        <v>6667.25</v>
      </c>
      <c r="K14" s="78">
        <v>6557.25</v>
      </c>
      <c r="L14" s="78">
        <v>7119.3</v>
      </c>
      <c r="M14" s="78">
        <v>7217.1360000000004</v>
      </c>
      <c r="N14" s="78">
        <v>6711</v>
      </c>
      <c r="O14" s="78">
        <v>6307</v>
      </c>
      <c r="P14" s="78">
        <v>5985.97</v>
      </c>
      <c r="Q14" s="78">
        <v>6299</v>
      </c>
      <c r="R14" s="78">
        <v>7007</v>
      </c>
    </row>
    <row r="15" spans="1:18">
      <c r="A15" s="37" t="s">
        <v>36</v>
      </c>
      <c r="B15" s="92" t="s">
        <v>7</v>
      </c>
      <c r="C15" s="81">
        <v>15230</v>
      </c>
      <c r="D15" s="81">
        <v>17050</v>
      </c>
      <c r="E15" s="81">
        <v>17181</v>
      </c>
      <c r="F15" s="81">
        <v>15487</v>
      </c>
      <c r="G15" s="81">
        <v>17484</v>
      </c>
      <c r="H15" s="81">
        <v>18520</v>
      </c>
      <c r="I15" s="81">
        <v>20741.120000000003</v>
      </c>
      <c r="J15" s="81">
        <v>22006.550000000003</v>
      </c>
      <c r="K15" s="81">
        <v>21877.035200000002</v>
      </c>
      <c r="L15" s="81">
        <v>21977.260000000002</v>
      </c>
      <c r="M15" s="81">
        <v>20234.713000000003</v>
      </c>
      <c r="N15" s="81">
        <v>17047</v>
      </c>
      <c r="O15" s="81">
        <v>16701</v>
      </c>
      <c r="P15" s="81">
        <v>15358.508</v>
      </c>
      <c r="Q15" s="81">
        <v>15744</v>
      </c>
      <c r="R15" s="81">
        <v>18377</v>
      </c>
    </row>
    <row r="16" spans="1:18">
      <c r="A16" s="65" t="s">
        <v>36</v>
      </c>
      <c r="B16" s="91" t="s">
        <v>54</v>
      </c>
      <c r="C16" s="78">
        <v>11037</v>
      </c>
      <c r="D16" s="78">
        <v>12626</v>
      </c>
      <c r="E16" s="78">
        <v>13050</v>
      </c>
      <c r="F16" s="78">
        <v>14374</v>
      </c>
      <c r="G16" s="78">
        <v>14088</v>
      </c>
      <c r="H16" s="78">
        <v>14170</v>
      </c>
      <c r="I16" s="78">
        <v>14906.849999999999</v>
      </c>
      <c r="J16" s="78">
        <v>14415.68</v>
      </c>
      <c r="K16" s="78">
        <v>12814.149900000002</v>
      </c>
      <c r="L16" s="78">
        <v>11550.33</v>
      </c>
      <c r="M16" s="78">
        <v>11639.374</v>
      </c>
      <c r="N16" s="78">
        <v>10870</v>
      </c>
      <c r="O16" s="78">
        <v>10258</v>
      </c>
      <c r="P16" s="78">
        <v>9369.5769999999993</v>
      </c>
      <c r="Q16" s="78">
        <v>8635</v>
      </c>
      <c r="R16" s="78">
        <v>8648</v>
      </c>
    </row>
    <row r="17" spans="1:18">
      <c r="A17" s="37" t="s">
        <v>36</v>
      </c>
      <c r="B17" s="92" t="s">
        <v>9</v>
      </c>
      <c r="C17" s="81">
        <v>24928</v>
      </c>
      <c r="D17" s="81">
        <v>25421</v>
      </c>
      <c r="E17" s="81">
        <v>25117</v>
      </c>
      <c r="F17" s="81">
        <v>22729</v>
      </c>
      <c r="G17" s="81">
        <v>22156</v>
      </c>
      <c r="H17" s="81">
        <v>22000</v>
      </c>
      <c r="I17" s="81">
        <v>22033.27</v>
      </c>
      <c r="J17" s="81">
        <v>22910.29</v>
      </c>
      <c r="K17" s="81">
        <v>22667.9879</v>
      </c>
      <c r="L17" s="81">
        <v>22181.35</v>
      </c>
      <c r="M17" s="81">
        <v>21082.989999999998</v>
      </c>
      <c r="N17" s="81">
        <v>20639</v>
      </c>
      <c r="O17" s="81">
        <v>20258</v>
      </c>
      <c r="P17" s="81">
        <v>20835.315999999999</v>
      </c>
      <c r="Q17" s="81">
        <v>19696</v>
      </c>
      <c r="R17" s="81">
        <v>19388</v>
      </c>
    </row>
    <row r="45" spans="1:15">
      <c r="A45" s="122" t="s">
        <v>110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</row>
    <row r="46" spans="1:15">
      <c r="A46" s="122" t="s">
        <v>109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</row>
    <row r="47" spans="1:15">
      <c r="A47" s="123" t="s">
        <v>81</v>
      </c>
      <c r="B47" s="124" t="s">
        <v>9</v>
      </c>
      <c r="C47" s="125">
        <v>348309</v>
      </c>
      <c r="D47" s="125">
        <v>355568</v>
      </c>
      <c r="E47" s="125">
        <v>361966</v>
      </c>
      <c r="F47" s="125">
        <v>379796</v>
      </c>
      <c r="G47" s="125">
        <v>387040</v>
      </c>
      <c r="H47" s="125">
        <v>416019</v>
      </c>
      <c r="I47" s="125">
        <v>437142.53</v>
      </c>
      <c r="J47" s="125">
        <v>445653.69</v>
      </c>
      <c r="K47" s="125"/>
      <c r="L47" s="125"/>
      <c r="M47" s="125">
        <v>445653.69</v>
      </c>
      <c r="N47" s="125">
        <v>445653.69</v>
      </c>
      <c r="O47" s="125">
        <v>445653.69</v>
      </c>
    </row>
    <row r="48" spans="1:15">
      <c r="A48" s="126" t="s">
        <v>36</v>
      </c>
      <c r="B48" s="124" t="s">
        <v>9</v>
      </c>
      <c r="C48" s="127">
        <v>24928</v>
      </c>
      <c r="D48" s="127">
        <v>25421</v>
      </c>
      <c r="E48" s="127">
        <v>25117</v>
      </c>
      <c r="F48" s="127">
        <v>22729</v>
      </c>
      <c r="G48" s="127">
        <v>22156</v>
      </c>
      <c r="H48" s="127">
        <v>22000</v>
      </c>
      <c r="I48" s="127">
        <v>22033.27</v>
      </c>
      <c r="J48" s="127">
        <v>22910.29</v>
      </c>
      <c r="K48" s="127"/>
      <c r="L48" s="127"/>
      <c r="M48" s="127">
        <v>22910.29</v>
      </c>
      <c r="N48" s="127">
        <v>22910.29</v>
      </c>
      <c r="O48" s="127">
        <v>22910.29</v>
      </c>
    </row>
    <row r="49" spans="1:15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</row>
  </sheetData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499984740745262"/>
  </sheetPr>
  <dimension ref="A1:M52"/>
  <sheetViews>
    <sheetView workbookViewId="0">
      <selection activeCell="AI161" sqref="AI161"/>
    </sheetView>
  </sheetViews>
  <sheetFormatPr defaultRowHeight="12.75"/>
  <cols>
    <col min="1" max="2" width="0.85546875" customWidth="1"/>
    <col min="3" max="3" width="17.85546875" customWidth="1"/>
    <col min="4" max="4" width="15.28515625" customWidth="1"/>
    <col min="5" max="5" width="15.28515625" style="93" customWidth="1"/>
    <col min="6" max="6" width="15.28515625" customWidth="1"/>
    <col min="7" max="7" width="15.28515625" style="93" customWidth="1"/>
    <col min="9" max="10" width="0.85546875" customWidth="1"/>
    <col min="11" max="11" width="17.85546875" customWidth="1"/>
    <col min="12" max="13" width="15.28515625" style="93" customWidth="1"/>
  </cols>
  <sheetData>
    <row r="1" spans="1:13">
      <c r="A1" s="1"/>
      <c r="B1" s="1"/>
      <c r="C1" s="1"/>
      <c r="D1" s="1"/>
      <c r="E1" s="115"/>
      <c r="F1" s="1"/>
      <c r="G1" s="115"/>
      <c r="I1" s="1"/>
      <c r="J1" s="1"/>
      <c r="K1" s="1"/>
      <c r="L1" s="115"/>
      <c r="M1" s="115"/>
    </row>
    <row r="2" spans="1:13">
      <c r="A2" s="33" t="s">
        <v>92</v>
      </c>
      <c r="B2" s="33"/>
      <c r="C2" s="33"/>
      <c r="D2" s="73" t="s">
        <v>122</v>
      </c>
      <c r="E2" s="73"/>
      <c r="F2" s="168" t="s">
        <v>123</v>
      </c>
      <c r="G2" s="73"/>
      <c r="I2" s="33" t="s">
        <v>92</v>
      </c>
      <c r="J2" s="33"/>
      <c r="K2" s="33"/>
      <c r="L2" s="73" t="s">
        <v>122</v>
      </c>
      <c r="M2" s="168" t="s">
        <v>123</v>
      </c>
    </row>
    <row r="3" spans="1:13">
      <c r="A3" s="52" t="s">
        <v>56</v>
      </c>
      <c r="B3" s="52"/>
      <c r="C3" s="52"/>
      <c r="D3" s="54"/>
      <c r="E3" s="116"/>
      <c r="F3" s="160"/>
      <c r="G3" s="116"/>
      <c r="I3" s="52" t="s">
        <v>56</v>
      </c>
      <c r="J3" s="52"/>
      <c r="K3" s="52"/>
      <c r="L3" s="116"/>
      <c r="M3" s="169"/>
    </row>
    <row r="4" spans="1:13">
      <c r="A4" s="64"/>
      <c r="B4" s="65" t="s">
        <v>34</v>
      </c>
      <c r="C4" s="64"/>
      <c r="D4" s="67">
        <v>48501.2811</v>
      </c>
      <c r="E4" s="117"/>
      <c r="F4" s="161">
        <v>47525.979999999996</v>
      </c>
      <c r="G4" s="117"/>
      <c r="I4" s="64"/>
      <c r="J4" s="65" t="s">
        <v>34</v>
      </c>
      <c r="K4" s="64"/>
      <c r="L4" s="117"/>
      <c r="M4" s="170"/>
    </row>
    <row r="5" spans="1:13">
      <c r="A5" s="64"/>
      <c r="B5" s="65" t="s">
        <v>35</v>
      </c>
      <c r="C5" s="64"/>
      <c r="D5" s="67">
        <v>50249.8416</v>
      </c>
      <c r="E5" s="117">
        <f>D4+D5</f>
        <v>98751.122700000007</v>
      </c>
      <c r="F5" s="161">
        <v>49565.85</v>
      </c>
      <c r="G5" s="117">
        <f>F4+F5</f>
        <v>97091.829999999987</v>
      </c>
      <c r="I5" s="64"/>
      <c r="J5" s="65" t="s">
        <v>35</v>
      </c>
      <c r="K5" s="64"/>
      <c r="L5" s="117">
        <v>98751.122700000007</v>
      </c>
      <c r="M5" s="170">
        <v>97091.829999999987</v>
      </c>
    </row>
    <row r="6" spans="1:13">
      <c r="A6" s="64"/>
      <c r="B6" s="65" t="s">
        <v>37</v>
      </c>
      <c r="C6" s="64"/>
      <c r="D6" s="67">
        <v>48.1</v>
      </c>
      <c r="E6" s="117"/>
      <c r="F6" s="161">
        <v>76.91</v>
      </c>
      <c r="G6" s="117"/>
      <c r="I6" s="64"/>
      <c r="J6" s="65" t="s">
        <v>37</v>
      </c>
      <c r="K6" s="64"/>
      <c r="L6" s="117"/>
      <c r="M6" s="170"/>
    </row>
    <row r="7" spans="1:13">
      <c r="A7" s="64"/>
      <c r="B7" s="65" t="s">
        <v>36</v>
      </c>
      <c r="C7" s="64"/>
      <c r="D7" s="67">
        <v>12162.2909</v>
      </c>
      <c r="E7" s="117">
        <f>D7</f>
        <v>12162.2909</v>
      </c>
      <c r="F7" s="161">
        <v>11736.58</v>
      </c>
      <c r="G7" s="117">
        <f>F7</f>
        <v>11736.58</v>
      </c>
      <c r="I7" s="64"/>
      <c r="J7" s="65" t="s">
        <v>36</v>
      </c>
      <c r="K7" s="64"/>
      <c r="L7" s="117">
        <v>12162.2909</v>
      </c>
      <c r="M7" s="170">
        <v>11736.58</v>
      </c>
    </row>
    <row r="8" spans="1:13">
      <c r="A8" s="64"/>
      <c r="B8" s="65"/>
      <c r="C8" s="65" t="s">
        <v>20</v>
      </c>
      <c r="D8" s="67">
        <v>110961.51360000001</v>
      </c>
      <c r="E8" s="117"/>
      <c r="F8" s="161">
        <v>108905.31999999999</v>
      </c>
      <c r="G8" s="117"/>
      <c r="I8" s="64"/>
      <c r="J8" s="65"/>
      <c r="K8" s="65" t="s">
        <v>20</v>
      </c>
      <c r="L8" s="117"/>
      <c r="M8" s="170"/>
    </row>
    <row r="9" spans="1:13">
      <c r="A9" s="41" t="s">
        <v>4</v>
      </c>
      <c r="B9" s="41"/>
      <c r="C9" s="41"/>
      <c r="D9" s="56"/>
      <c r="E9" s="118"/>
      <c r="F9" s="162"/>
      <c r="G9" s="118"/>
      <c r="I9" s="41" t="s">
        <v>4</v>
      </c>
      <c r="J9" s="41"/>
      <c r="K9" s="41"/>
      <c r="L9" s="118"/>
      <c r="M9" s="171"/>
    </row>
    <row r="10" spans="1:13">
      <c r="A10" s="38"/>
      <c r="B10" s="37" t="s">
        <v>34</v>
      </c>
      <c r="C10" s="38"/>
      <c r="D10" s="58">
        <v>24039</v>
      </c>
      <c r="E10" s="119"/>
      <c r="F10" s="163">
        <v>24224</v>
      </c>
      <c r="G10" s="119"/>
      <c r="I10" s="38"/>
      <c r="J10" s="37" t="s">
        <v>34</v>
      </c>
      <c r="K10" s="38"/>
      <c r="L10" s="119"/>
      <c r="M10" s="172"/>
    </row>
    <row r="11" spans="1:13">
      <c r="A11" s="38"/>
      <c r="B11" s="37" t="s">
        <v>35</v>
      </c>
      <c r="C11" s="38"/>
      <c r="D11" s="58">
        <v>56699.15</v>
      </c>
      <c r="E11" s="119">
        <f>D10+D11</f>
        <v>80738.149999999994</v>
      </c>
      <c r="F11" s="163">
        <v>59441.5</v>
      </c>
      <c r="G11" s="119">
        <f>F10+F11</f>
        <v>83665.5</v>
      </c>
      <c r="I11" s="38"/>
      <c r="J11" s="37" t="s">
        <v>35</v>
      </c>
      <c r="K11" s="38"/>
      <c r="L11" s="119">
        <v>80738.149999999994</v>
      </c>
      <c r="M11" s="172">
        <v>83665.5</v>
      </c>
    </row>
    <row r="12" spans="1:13">
      <c r="A12" s="38"/>
      <c r="B12" s="37" t="s">
        <v>36</v>
      </c>
      <c r="C12" s="38"/>
      <c r="D12" s="58">
        <v>5691.7</v>
      </c>
      <c r="E12" s="117">
        <f>D12</f>
        <v>5691.7</v>
      </c>
      <c r="F12" s="163">
        <v>5368.67</v>
      </c>
      <c r="G12" s="117">
        <f>F12</f>
        <v>5368.67</v>
      </c>
      <c r="I12" s="38"/>
      <c r="J12" s="37" t="s">
        <v>36</v>
      </c>
      <c r="K12" s="38"/>
      <c r="L12" s="117">
        <v>5691.7</v>
      </c>
      <c r="M12" s="170">
        <v>5368.67</v>
      </c>
    </row>
    <row r="13" spans="1:13">
      <c r="A13" s="38"/>
      <c r="B13" s="37"/>
      <c r="C13" s="37" t="s">
        <v>20</v>
      </c>
      <c r="D13" s="58">
        <v>86429.849999999991</v>
      </c>
      <c r="E13" s="119"/>
      <c r="F13" s="163">
        <v>89034.17</v>
      </c>
      <c r="G13" s="119"/>
      <c r="I13" s="38"/>
      <c r="J13" s="37"/>
      <c r="K13" s="37" t="s">
        <v>20</v>
      </c>
      <c r="L13" s="119"/>
      <c r="M13" s="172"/>
    </row>
    <row r="14" spans="1:13">
      <c r="A14" s="52" t="s">
        <v>5</v>
      </c>
      <c r="B14" s="52"/>
      <c r="C14" s="52"/>
      <c r="D14" s="55"/>
      <c r="E14" s="120"/>
      <c r="F14" s="164"/>
      <c r="G14" s="120"/>
      <c r="I14" s="52" t="s">
        <v>5</v>
      </c>
      <c r="J14" s="52"/>
      <c r="K14" s="52"/>
      <c r="L14" s="120"/>
      <c r="M14" s="173"/>
    </row>
    <row r="15" spans="1:13">
      <c r="A15" s="64"/>
      <c r="B15" s="65" t="s">
        <v>34</v>
      </c>
      <c r="C15" s="64"/>
      <c r="D15" s="67">
        <v>19759.349999999999</v>
      </c>
      <c r="E15" s="117"/>
      <c r="F15" s="161">
        <v>19553.86</v>
      </c>
      <c r="G15" s="117"/>
      <c r="I15" s="64"/>
      <c r="J15" s="65" t="s">
        <v>34</v>
      </c>
      <c r="K15" s="64"/>
      <c r="L15" s="117"/>
      <c r="M15" s="170"/>
    </row>
    <row r="16" spans="1:13">
      <c r="A16" s="64"/>
      <c r="B16" s="65" t="s">
        <v>35</v>
      </c>
      <c r="C16" s="64"/>
      <c r="D16" s="67">
        <v>19687.989999999998</v>
      </c>
      <c r="E16" s="117">
        <f>D15+D16</f>
        <v>39447.339999999997</v>
      </c>
      <c r="F16" s="161">
        <v>20295.39</v>
      </c>
      <c r="G16" s="117">
        <f>F15+F16</f>
        <v>39849.25</v>
      </c>
      <c r="I16" s="64"/>
      <c r="J16" s="65" t="s">
        <v>35</v>
      </c>
      <c r="K16" s="64"/>
      <c r="L16" s="117">
        <v>39447.339999999997</v>
      </c>
      <c r="M16" s="170">
        <v>39849.25</v>
      </c>
    </row>
    <row r="17" spans="1:13">
      <c r="A17" s="64"/>
      <c r="B17" s="65" t="s">
        <v>36</v>
      </c>
      <c r="C17" s="64"/>
      <c r="D17" s="67">
        <v>6557.25</v>
      </c>
      <c r="E17" s="117">
        <f>D17</f>
        <v>6557.25</v>
      </c>
      <c r="F17" s="161">
        <v>7119.3</v>
      </c>
      <c r="G17" s="117">
        <f>F17</f>
        <v>7119.3</v>
      </c>
      <c r="I17" s="64"/>
      <c r="J17" s="65" t="s">
        <v>36</v>
      </c>
      <c r="K17" s="64"/>
      <c r="L17" s="117">
        <v>6557.25</v>
      </c>
      <c r="M17" s="170">
        <v>7119.3</v>
      </c>
    </row>
    <row r="18" spans="1:13">
      <c r="A18" s="64"/>
      <c r="B18" s="65"/>
      <c r="C18" s="65" t="s">
        <v>20</v>
      </c>
      <c r="D18" s="67">
        <v>46004.59</v>
      </c>
      <c r="E18" s="117"/>
      <c r="F18" s="161">
        <v>46968.55</v>
      </c>
      <c r="G18" s="117"/>
      <c r="I18" s="64"/>
      <c r="J18" s="65"/>
      <c r="K18" s="65" t="s">
        <v>20</v>
      </c>
      <c r="L18" s="117"/>
      <c r="M18" s="170"/>
    </row>
    <row r="19" spans="1:13">
      <c r="A19" s="41" t="s">
        <v>7</v>
      </c>
      <c r="B19" s="41"/>
      <c r="C19" s="41"/>
      <c r="D19" s="56"/>
      <c r="E19" s="118"/>
      <c r="F19" s="162"/>
      <c r="G19" s="118"/>
      <c r="I19" s="41" t="s">
        <v>7</v>
      </c>
      <c r="J19" s="41"/>
      <c r="K19" s="41"/>
      <c r="L19" s="118"/>
      <c r="M19" s="171"/>
    </row>
    <row r="20" spans="1:13">
      <c r="A20" s="38"/>
      <c r="B20" s="37" t="s">
        <v>34</v>
      </c>
      <c r="C20" s="38"/>
      <c r="D20" s="58">
        <v>45736.994999999995</v>
      </c>
      <c r="E20" s="119"/>
      <c r="F20" s="163">
        <v>44500.869999999995</v>
      </c>
      <c r="G20" s="119"/>
      <c r="I20" s="38"/>
      <c r="J20" s="37" t="s">
        <v>34</v>
      </c>
      <c r="K20" s="38"/>
      <c r="L20" s="119"/>
      <c r="M20" s="172"/>
    </row>
    <row r="21" spans="1:13">
      <c r="A21" s="38"/>
      <c r="B21" s="37" t="s">
        <v>35</v>
      </c>
      <c r="C21" s="38"/>
      <c r="D21" s="58">
        <v>69491.608000000007</v>
      </c>
      <c r="E21" s="119">
        <f>D20+D21</f>
        <v>115228.603</v>
      </c>
      <c r="F21" s="163">
        <v>73602.880000000005</v>
      </c>
      <c r="G21" s="119">
        <f>F20+F21</f>
        <v>118103.75</v>
      </c>
      <c r="I21" s="38"/>
      <c r="J21" s="37" t="s">
        <v>35</v>
      </c>
      <c r="K21" s="38"/>
      <c r="L21" s="119">
        <v>115228.603</v>
      </c>
      <c r="M21" s="172">
        <v>118103.75</v>
      </c>
    </row>
    <row r="22" spans="1:13">
      <c r="A22" s="38"/>
      <c r="B22" s="37" t="s">
        <v>37</v>
      </c>
      <c r="C22" s="38"/>
      <c r="D22" s="58">
        <v>17.64</v>
      </c>
      <c r="E22" s="119"/>
      <c r="F22" s="163">
        <v>19.149999999999999</v>
      </c>
      <c r="G22" s="119"/>
      <c r="I22" s="38"/>
      <c r="J22" s="37" t="s">
        <v>37</v>
      </c>
      <c r="K22" s="38"/>
      <c r="L22" s="119"/>
      <c r="M22" s="172"/>
    </row>
    <row r="23" spans="1:13">
      <c r="A23" s="38"/>
      <c r="B23" s="37" t="s">
        <v>36</v>
      </c>
      <c r="C23" s="38"/>
      <c r="D23" s="58">
        <v>21877.035200000002</v>
      </c>
      <c r="E23" s="117">
        <f>D23</f>
        <v>21877.035200000002</v>
      </c>
      <c r="F23" s="163">
        <v>21977.260000000002</v>
      </c>
      <c r="G23" s="117">
        <f>F23</f>
        <v>21977.260000000002</v>
      </c>
      <c r="I23" s="38"/>
      <c r="J23" s="37" t="s">
        <v>36</v>
      </c>
      <c r="K23" s="38"/>
      <c r="L23" s="117">
        <v>21877.035200000002</v>
      </c>
      <c r="M23" s="170">
        <v>21977.260000000002</v>
      </c>
    </row>
    <row r="24" spans="1:13">
      <c r="A24" s="38"/>
      <c r="B24" s="37"/>
      <c r="C24" s="37" t="s">
        <v>20</v>
      </c>
      <c r="D24" s="58">
        <v>137123.2782</v>
      </c>
      <c r="E24" s="119"/>
      <c r="F24" s="163">
        <v>140100.16</v>
      </c>
      <c r="G24" s="119"/>
      <c r="I24" s="38"/>
      <c r="J24" s="37"/>
      <c r="K24" s="37" t="s">
        <v>20</v>
      </c>
      <c r="L24" s="119"/>
      <c r="M24" s="172"/>
    </row>
    <row r="25" spans="1:13">
      <c r="A25" s="52" t="s">
        <v>54</v>
      </c>
      <c r="B25" s="52"/>
      <c r="C25" s="52"/>
      <c r="D25" s="55"/>
      <c r="E25" s="120"/>
      <c r="F25" s="164"/>
      <c r="G25" s="120"/>
      <c r="I25" s="52" t="s">
        <v>54</v>
      </c>
      <c r="J25" s="52"/>
      <c r="K25" s="52"/>
      <c r="L25" s="120"/>
      <c r="M25" s="173"/>
    </row>
    <row r="26" spans="1:13">
      <c r="A26" s="64"/>
      <c r="B26" s="65" t="s">
        <v>34</v>
      </c>
      <c r="C26" s="64"/>
      <c r="D26" s="67">
        <v>46539.538</v>
      </c>
      <c r="E26" s="117"/>
      <c r="F26" s="161">
        <v>46863.7</v>
      </c>
      <c r="G26" s="117"/>
      <c r="I26" s="64"/>
      <c r="J26" s="65" t="s">
        <v>34</v>
      </c>
      <c r="K26" s="64"/>
      <c r="L26" s="117"/>
      <c r="M26" s="170"/>
    </row>
    <row r="27" spans="1:13">
      <c r="A27" s="64"/>
      <c r="B27" s="65" t="s">
        <v>35</v>
      </c>
      <c r="C27" s="64"/>
      <c r="D27" s="67">
        <v>52821.33</v>
      </c>
      <c r="E27" s="117">
        <f>D26+D27</f>
        <v>99360.868000000002</v>
      </c>
      <c r="F27" s="161">
        <v>52523.270000000004</v>
      </c>
      <c r="G27" s="117">
        <f>F26+F27</f>
        <v>99386.97</v>
      </c>
      <c r="I27" s="64"/>
      <c r="J27" s="65" t="s">
        <v>35</v>
      </c>
      <c r="K27" s="64"/>
      <c r="L27" s="117">
        <v>99360.868000000002</v>
      </c>
      <c r="M27" s="170">
        <v>99386.97</v>
      </c>
    </row>
    <row r="28" spans="1:13">
      <c r="A28" s="64"/>
      <c r="B28" s="65" t="s">
        <v>36</v>
      </c>
      <c r="C28" s="64"/>
      <c r="D28" s="67">
        <v>12814.149900000002</v>
      </c>
      <c r="E28" s="117"/>
      <c r="F28" s="161">
        <v>11550.33</v>
      </c>
      <c r="G28" s="117">
        <f>F28</f>
        <v>11550.33</v>
      </c>
      <c r="I28" s="64"/>
      <c r="J28" s="65" t="s">
        <v>36</v>
      </c>
      <c r="K28" s="64"/>
      <c r="L28" s="117"/>
      <c r="M28" s="170">
        <v>11550.33</v>
      </c>
    </row>
    <row r="29" spans="1:13">
      <c r="A29" s="64"/>
      <c r="B29" s="65"/>
      <c r="C29" s="65" t="s">
        <v>20</v>
      </c>
      <c r="D29" s="67">
        <v>112175.01790000001</v>
      </c>
      <c r="E29" s="117"/>
      <c r="F29" s="161">
        <v>110937.3</v>
      </c>
      <c r="G29" s="117"/>
      <c r="I29" s="64"/>
      <c r="J29" s="65"/>
      <c r="K29" s="65" t="s">
        <v>20</v>
      </c>
      <c r="L29" s="117"/>
      <c r="M29" s="170"/>
    </row>
    <row r="30" spans="1:13">
      <c r="A30" s="41" t="s">
        <v>9</v>
      </c>
      <c r="B30" s="41"/>
      <c r="C30" s="41"/>
      <c r="D30" s="56"/>
      <c r="E30" s="118"/>
      <c r="F30" s="162"/>
      <c r="G30" s="118"/>
      <c r="I30" s="41" t="s">
        <v>9</v>
      </c>
      <c r="J30" s="41"/>
      <c r="K30" s="41"/>
      <c r="L30" s="118"/>
      <c r="M30" s="171"/>
    </row>
    <row r="31" spans="1:13">
      <c r="A31" s="38"/>
      <c r="B31" s="37" t="s">
        <v>34</v>
      </c>
      <c r="C31" s="38"/>
      <c r="D31" s="58">
        <v>321941.37050000002</v>
      </c>
      <c r="E31" s="119"/>
      <c r="F31" s="163">
        <v>303622.28000000003</v>
      </c>
      <c r="G31" s="119"/>
      <c r="I31" s="38"/>
      <c r="J31" s="37" t="s">
        <v>34</v>
      </c>
      <c r="K31" s="38"/>
      <c r="L31" s="119"/>
      <c r="M31" s="172"/>
    </row>
    <row r="32" spans="1:13">
      <c r="A32" s="38"/>
      <c r="B32" s="37" t="s">
        <v>35</v>
      </c>
      <c r="C32" s="38"/>
      <c r="D32" s="58">
        <v>131009.32339999999</v>
      </c>
      <c r="E32" s="119">
        <f>D31+D32</f>
        <v>452950.69390000001</v>
      </c>
      <c r="F32" s="163">
        <v>130374.25</v>
      </c>
      <c r="G32" s="119">
        <f>F31+F32</f>
        <v>433996.53</v>
      </c>
      <c r="I32" s="38"/>
      <c r="J32" s="37" t="s">
        <v>35</v>
      </c>
      <c r="K32" s="38"/>
      <c r="L32" s="119">
        <v>452950.69390000001</v>
      </c>
      <c r="M32" s="172">
        <v>433996.53</v>
      </c>
    </row>
    <row r="33" spans="1:13">
      <c r="A33" s="38"/>
      <c r="B33" s="37" t="s">
        <v>37</v>
      </c>
      <c r="C33" s="38"/>
      <c r="D33" s="58">
        <v>4.68</v>
      </c>
      <c r="E33" s="119"/>
      <c r="F33" s="163">
        <v>24</v>
      </c>
      <c r="G33" s="119"/>
      <c r="I33" s="38"/>
      <c r="J33" s="37" t="s">
        <v>37</v>
      </c>
      <c r="K33" s="38"/>
      <c r="L33" s="119"/>
      <c r="M33" s="172"/>
    </row>
    <row r="34" spans="1:13">
      <c r="A34" s="38"/>
      <c r="B34" s="37" t="s">
        <v>36</v>
      </c>
      <c r="C34" s="38"/>
      <c r="D34" s="58">
        <v>22667.9879</v>
      </c>
      <c r="E34" s="117">
        <f>D34</f>
        <v>22667.9879</v>
      </c>
      <c r="F34" s="163">
        <v>22181.35</v>
      </c>
      <c r="G34" s="117">
        <f>F34</f>
        <v>22181.35</v>
      </c>
      <c r="I34" s="38"/>
      <c r="J34" s="37" t="s">
        <v>36</v>
      </c>
      <c r="K34" s="38"/>
      <c r="L34" s="117">
        <v>22667.9879</v>
      </c>
      <c r="M34" s="170">
        <v>22181.35</v>
      </c>
    </row>
    <row r="35" spans="1:13">
      <c r="A35" s="38"/>
      <c r="B35" s="37"/>
      <c r="C35" s="37" t="s">
        <v>20</v>
      </c>
      <c r="D35" s="58">
        <v>475623.36180000001</v>
      </c>
      <c r="E35" s="119"/>
      <c r="F35" s="163">
        <v>456201.88</v>
      </c>
      <c r="G35" s="119"/>
      <c r="I35" s="38"/>
      <c r="J35" s="37"/>
      <c r="K35" s="37" t="s">
        <v>20</v>
      </c>
      <c r="L35" s="119"/>
      <c r="M35" s="172"/>
    </row>
    <row r="36" spans="1:13">
      <c r="A36" s="52" t="s">
        <v>10</v>
      </c>
      <c r="B36" s="52"/>
      <c r="C36" s="52"/>
      <c r="D36" s="55"/>
      <c r="E36" s="120"/>
      <c r="F36" s="164"/>
      <c r="G36" s="120"/>
      <c r="I36" s="52" t="s">
        <v>10</v>
      </c>
      <c r="J36" s="52"/>
      <c r="K36" s="52"/>
      <c r="L36" s="120"/>
      <c r="M36" s="173"/>
    </row>
    <row r="37" spans="1:13">
      <c r="A37" s="64"/>
      <c r="B37" s="65" t="s">
        <v>34</v>
      </c>
      <c r="C37" s="64"/>
      <c r="D37" s="67">
        <v>0</v>
      </c>
      <c r="E37" s="117"/>
      <c r="F37" s="161">
        <v>0</v>
      </c>
      <c r="G37" s="117"/>
      <c r="I37" s="64"/>
      <c r="J37" s="65" t="s">
        <v>34</v>
      </c>
      <c r="K37" s="64"/>
      <c r="L37" s="117"/>
      <c r="M37" s="170"/>
    </row>
    <row r="38" spans="1:13">
      <c r="A38" s="64"/>
      <c r="B38" s="65" t="s">
        <v>35</v>
      </c>
      <c r="C38" s="64"/>
      <c r="D38" s="67">
        <v>503.75</v>
      </c>
      <c r="E38" s="117">
        <f>D37+D38</f>
        <v>503.75</v>
      </c>
      <c r="F38" s="161">
        <v>784.52</v>
      </c>
      <c r="G38" s="117">
        <f>F37+F38</f>
        <v>784.52</v>
      </c>
      <c r="I38" s="64"/>
      <c r="J38" s="65" t="s">
        <v>35</v>
      </c>
      <c r="K38" s="64"/>
      <c r="L38" s="117">
        <v>503.75</v>
      </c>
      <c r="M38" s="170">
        <v>784.52</v>
      </c>
    </row>
    <row r="39" spans="1:13">
      <c r="A39" s="64"/>
      <c r="B39" s="65" t="s">
        <v>37</v>
      </c>
      <c r="C39" s="64"/>
      <c r="D39" s="67">
        <v>25924.746800000001</v>
      </c>
      <c r="E39" s="117"/>
      <c r="F39" s="161">
        <v>26309.809999999998</v>
      </c>
      <c r="G39" s="117"/>
      <c r="I39" s="64"/>
      <c r="J39" s="65" t="s">
        <v>37</v>
      </c>
      <c r="K39" s="64"/>
      <c r="L39" s="117"/>
      <c r="M39" s="170"/>
    </row>
    <row r="40" spans="1:13">
      <c r="A40" s="64"/>
      <c r="B40" s="65" t="s">
        <v>36</v>
      </c>
      <c r="C40" s="65"/>
      <c r="D40" s="67">
        <v>659.74950000000001</v>
      </c>
      <c r="E40" s="117">
        <f>D40</f>
        <v>659.74950000000001</v>
      </c>
      <c r="F40" s="161">
        <v>652.99</v>
      </c>
      <c r="G40" s="117">
        <f>F40</f>
        <v>652.99</v>
      </c>
      <c r="I40" s="64"/>
      <c r="J40" s="65" t="s">
        <v>36</v>
      </c>
      <c r="K40" s="65"/>
      <c r="L40" s="117">
        <v>659.74950000000001</v>
      </c>
      <c r="M40" s="170">
        <v>652.99</v>
      </c>
    </row>
    <row r="41" spans="1:13">
      <c r="A41" s="64"/>
      <c r="B41" s="65"/>
      <c r="C41" s="65" t="s">
        <v>20</v>
      </c>
      <c r="D41" s="67">
        <v>27088.246300000003</v>
      </c>
      <c r="E41" s="117"/>
      <c r="F41" s="161">
        <v>27747.32</v>
      </c>
      <c r="G41" s="117"/>
      <c r="I41" s="64"/>
      <c r="J41" s="65"/>
      <c r="K41" s="65" t="s">
        <v>20</v>
      </c>
      <c r="L41" s="117"/>
      <c r="M41" s="170"/>
    </row>
    <row r="42" spans="1:13" ht="13.5">
      <c r="A42" s="41" t="s">
        <v>78</v>
      </c>
      <c r="B42" s="41"/>
      <c r="C42" s="41"/>
      <c r="D42" s="56"/>
      <c r="E42" s="118"/>
      <c r="F42" s="162"/>
      <c r="G42" s="118"/>
      <c r="I42" s="41" t="s">
        <v>113</v>
      </c>
      <c r="J42" s="41"/>
      <c r="K42" s="41"/>
      <c r="L42" s="118"/>
      <c r="M42" s="171"/>
    </row>
    <row r="43" spans="1:13">
      <c r="A43" s="38"/>
      <c r="B43" s="37" t="s">
        <v>34</v>
      </c>
      <c r="C43" s="38"/>
      <c r="D43" s="58">
        <v>8357</v>
      </c>
      <c r="E43" s="119"/>
      <c r="F43" s="163">
        <v>7958.75</v>
      </c>
      <c r="G43" s="119"/>
      <c r="I43" s="38"/>
      <c r="J43" s="37" t="s">
        <v>34</v>
      </c>
      <c r="K43" s="38"/>
      <c r="L43" s="119"/>
      <c r="M43" s="172"/>
    </row>
    <row r="44" spans="1:13">
      <c r="A44" s="38"/>
      <c r="B44" s="37" t="s">
        <v>35</v>
      </c>
      <c r="C44" s="38"/>
      <c r="D44" s="58">
        <v>374</v>
      </c>
      <c r="E44" s="119">
        <f>D43+D44</f>
        <v>8731</v>
      </c>
      <c r="F44" s="163">
        <v>352</v>
      </c>
      <c r="G44" s="119">
        <f>F43+F44</f>
        <v>8310.75</v>
      </c>
      <c r="I44" s="38"/>
      <c r="J44" s="37" t="s">
        <v>35</v>
      </c>
      <c r="K44" s="38"/>
      <c r="L44" s="119">
        <v>8731</v>
      </c>
      <c r="M44" s="172">
        <v>8310.75</v>
      </c>
    </row>
    <row r="45" spans="1:13">
      <c r="A45" s="38"/>
      <c r="B45" s="37" t="s">
        <v>36</v>
      </c>
      <c r="C45" s="38"/>
      <c r="D45" s="58">
        <v>2</v>
      </c>
      <c r="E45" s="119"/>
      <c r="F45" s="163">
        <v>0</v>
      </c>
      <c r="G45" s="117">
        <f>F45</f>
        <v>0</v>
      </c>
      <c r="I45" s="38"/>
      <c r="J45" s="37" t="s">
        <v>36</v>
      </c>
      <c r="K45" s="38"/>
      <c r="L45" s="119"/>
      <c r="M45" s="170">
        <v>0</v>
      </c>
    </row>
    <row r="46" spans="1:13">
      <c r="A46" s="50"/>
      <c r="B46" s="51"/>
      <c r="C46" s="51" t="s">
        <v>20</v>
      </c>
      <c r="D46" s="59">
        <v>8733</v>
      </c>
      <c r="E46" s="121"/>
      <c r="F46" s="165">
        <v>8310.75</v>
      </c>
      <c r="G46" s="121"/>
      <c r="I46" s="50"/>
      <c r="J46" s="51"/>
      <c r="K46" s="51" t="s">
        <v>20</v>
      </c>
      <c r="L46" s="121"/>
      <c r="M46" s="174"/>
    </row>
    <row r="47" spans="1:13">
      <c r="A47" s="41" t="s">
        <v>42</v>
      </c>
      <c r="B47" s="41"/>
      <c r="C47" s="41"/>
      <c r="D47" s="60"/>
      <c r="E47" s="60"/>
      <c r="F47" s="166"/>
      <c r="G47" s="60"/>
      <c r="I47" s="41" t="s">
        <v>42</v>
      </c>
      <c r="J47" s="41"/>
      <c r="K47" s="41"/>
      <c r="L47" s="60"/>
      <c r="M47" s="166"/>
    </row>
    <row r="48" spans="1:13">
      <c r="A48" s="35"/>
      <c r="B48" s="35" t="s">
        <v>34</v>
      </c>
      <c r="C48" s="35"/>
      <c r="D48" s="105">
        <v>514874.53460000001</v>
      </c>
      <c r="E48" s="105"/>
      <c r="F48" s="167">
        <v>494249.44</v>
      </c>
      <c r="G48" s="105"/>
      <c r="I48" s="35"/>
      <c r="J48" s="35" t="s">
        <v>34</v>
      </c>
      <c r="K48" s="35"/>
      <c r="L48" s="105"/>
      <c r="M48" s="167"/>
    </row>
    <row r="49" spans="1:13">
      <c r="A49" s="35"/>
      <c r="B49" s="35" t="s">
        <v>35</v>
      </c>
      <c r="C49" s="35"/>
      <c r="D49" s="105">
        <v>380836.99300000002</v>
      </c>
      <c r="E49" s="119">
        <f>D48+D49</f>
        <v>895711.52760000003</v>
      </c>
      <c r="F49" s="167">
        <v>386939.66000000003</v>
      </c>
      <c r="G49" s="119">
        <f>F48+F49</f>
        <v>881189.10000000009</v>
      </c>
      <c r="I49" s="35"/>
      <c r="J49" s="35" t="s">
        <v>35</v>
      </c>
      <c r="K49" s="35"/>
      <c r="L49" s="119">
        <v>895711.52760000003</v>
      </c>
      <c r="M49" s="172">
        <v>881189.10000000009</v>
      </c>
    </row>
    <row r="50" spans="1:13">
      <c r="A50" s="35"/>
      <c r="B50" s="35" t="s">
        <v>37</v>
      </c>
      <c r="C50" s="35"/>
      <c r="D50" s="105">
        <v>25995.166799999999</v>
      </c>
      <c r="E50" s="105"/>
      <c r="F50" s="167">
        <v>26429.87</v>
      </c>
      <c r="G50" s="105"/>
      <c r="I50" s="35"/>
      <c r="J50" s="35" t="s">
        <v>37</v>
      </c>
      <c r="K50" s="35"/>
      <c r="L50" s="105"/>
      <c r="M50" s="167"/>
    </row>
    <row r="51" spans="1:13">
      <c r="A51" s="35"/>
      <c r="B51" s="35" t="s">
        <v>36</v>
      </c>
      <c r="C51" s="35"/>
      <c r="D51" s="105">
        <v>82432.16339999999</v>
      </c>
      <c r="E51" s="117">
        <f>D51</f>
        <v>82432.16339999999</v>
      </c>
      <c r="F51" s="167">
        <v>80586.48000000001</v>
      </c>
      <c r="G51" s="117">
        <f>F51</f>
        <v>80586.48000000001</v>
      </c>
      <c r="I51" s="35"/>
      <c r="J51" s="35" t="s">
        <v>36</v>
      </c>
      <c r="K51" s="35"/>
      <c r="L51" s="117">
        <v>82432.16339999999</v>
      </c>
      <c r="M51" s="170">
        <v>80586.48000000001</v>
      </c>
    </row>
    <row r="52" spans="1:13">
      <c r="A52" s="35"/>
      <c r="B52" s="35"/>
      <c r="C52" s="35" t="s">
        <v>20</v>
      </c>
      <c r="D52" s="105">
        <v>1004138.8578</v>
      </c>
      <c r="E52" s="105"/>
      <c r="F52" s="167">
        <v>988205.45000000007</v>
      </c>
      <c r="G52" s="105"/>
      <c r="I52" s="35"/>
      <c r="J52" s="35"/>
      <c r="K52" s="35" t="s">
        <v>20</v>
      </c>
      <c r="L52" s="105"/>
      <c r="M52" s="16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SCH by College &amp; Level_FY</vt:lpstr>
      <vt:lpstr>Data for Table (Page1)</vt:lpstr>
      <vt:lpstr>Data &amp; Chart_Pie Chart (Page 2)</vt:lpstr>
      <vt:lpstr>Data &amp; Chart_UG Bar (Page 2)</vt:lpstr>
      <vt:lpstr>Data &amp; Chart_UG Line (Page 2)</vt:lpstr>
      <vt:lpstr>Data &amp; Chart_Grad Bar (Page 3)</vt:lpstr>
      <vt:lpstr>Data &amp; Chart_Grad Line (Page 3)</vt:lpstr>
      <vt:lpstr>Data Prep_Line Graph (Page 3)</vt:lpstr>
      <vt:lpstr>'Data &amp; Chart_Pie Chart (Page 2)'!Print_Area</vt:lpstr>
      <vt:lpstr>'SCH by College &amp; Level_FY'!Print_Area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A310WD</dc:creator>
  <cp:lastModifiedBy>Andringa, Chris [I RES]</cp:lastModifiedBy>
  <cp:lastPrinted>2021-05-18T19:48:38Z</cp:lastPrinted>
  <dcterms:created xsi:type="dcterms:W3CDTF">1999-06-21T14:08:50Z</dcterms:created>
  <dcterms:modified xsi:type="dcterms:W3CDTF">2025-06-05T13:33:14Z</dcterms:modified>
</cp:coreProperties>
</file>