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ate1904="1"/>
  <mc:AlternateContent xmlns:mc="http://schemas.openxmlformats.org/markup-compatibility/2006">
    <mc:Choice Requires="x15">
      <x15ac:absPath xmlns:x15ac="http://schemas.microsoft.com/office/spreadsheetml/2010/11/ac" url="H:\IR Staff\Fact Book\Fact Book Pages 2025-26\__Ready to Post\"/>
    </mc:Choice>
  </mc:AlternateContent>
  <xr:revisionPtr revIDLastSave="0" documentId="13_ncr:1_{07280A7E-E63D-4106-9BE1-C67F1061208A}" xr6:coauthVersionLast="47" xr6:coauthVersionMax="47" xr10:uidLastSave="{00000000-0000-0000-0000-000000000000}"/>
  <bookViews>
    <workbookView xWindow="30600" yWindow="660" windowWidth="26760" windowHeight="16500" tabRatio="846" xr2:uid="{00000000-000D-0000-FFFF-FFFF00000000}"/>
  </bookViews>
  <sheets>
    <sheet name="Race-Ethnicity" sheetId="1" r:id="rId1"/>
    <sheet name="Data for Charts" sheetId="3" state="hidden" r:id="rId2"/>
  </sheets>
  <definedNames>
    <definedName name="_xlnm.Print_Area" localSheetId="0">'Race-Ethnicity'!$A$1:$DH$199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3" l="1"/>
  <c r="N22" i="3"/>
  <c r="DG112" i="1"/>
  <c r="DG101" i="1"/>
  <c r="DG93" i="1" s="1"/>
  <c r="DG90" i="1"/>
  <c r="DG72" i="1"/>
  <c r="DG64" i="1"/>
  <c r="DG49" i="1"/>
  <c r="DG40" i="1"/>
  <c r="DG62" i="1" s="1"/>
  <c r="DG39" i="1"/>
  <c r="DG61" i="1" s="1"/>
  <c r="DG37" i="1"/>
  <c r="DG59" i="1" s="1"/>
  <c r="DG36" i="1"/>
  <c r="DG58" i="1" s="1"/>
  <c r="DG121" i="1" s="1"/>
  <c r="DG35" i="1"/>
  <c r="DG57" i="1" s="1"/>
  <c r="DG120" i="1" s="1"/>
  <c r="DG34" i="1"/>
  <c r="DG56" i="1" s="1"/>
  <c r="DG33" i="1"/>
  <c r="DG32" i="1"/>
  <c r="DG31" i="1"/>
  <c r="DG27" i="1"/>
  <c r="DG19" i="1" s="1"/>
  <c r="DG16" i="1"/>
  <c r="DD112" i="1"/>
  <c r="DD101" i="1"/>
  <c r="DD93" i="1" s="1"/>
  <c r="DD90" i="1"/>
  <c r="DD72" i="1"/>
  <c r="DD64" i="1" s="1"/>
  <c r="DD49" i="1"/>
  <c r="DD40" i="1"/>
  <c r="DD62" i="1" s="1"/>
  <c r="DD39" i="1"/>
  <c r="DD61" i="1" s="1"/>
  <c r="DD37" i="1"/>
  <c r="DD59" i="1" s="1"/>
  <c r="DD36" i="1"/>
  <c r="DD58" i="1" s="1"/>
  <c r="DD35" i="1"/>
  <c r="DD34" i="1"/>
  <c r="DD33" i="1"/>
  <c r="DD55" i="1" s="1"/>
  <c r="DD32" i="1"/>
  <c r="DD31" i="1"/>
  <c r="DD27" i="1"/>
  <c r="DD19" i="1" s="1"/>
  <c r="DD16" i="1"/>
  <c r="DG54" i="1" l="1"/>
  <c r="DG82" i="1"/>
  <c r="DG55" i="1"/>
  <c r="DG104" i="1"/>
  <c r="DG41" i="1"/>
  <c r="DG119" i="1"/>
  <c r="DG38" i="1"/>
  <c r="DG8" i="1"/>
  <c r="DG30" i="1" s="1"/>
  <c r="DG52" i="1" s="1"/>
  <c r="DG124" i="1"/>
  <c r="DG125" i="1"/>
  <c r="DG122" i="1"/>
  <c r="DD82" i="1"/>
  <c r="DD41" i="1"/>
  <c r="DD54" i="1"/>
  <c r="DD118" i="1"/>
  <c r="DD38" i="1"/>
  <c r="DD60" i="1" s="1"/>
  <c r="DD53" i="1"/>
  <c r="DD56" i="1"/>
  <c r="DD8" i="1"/>
  <c r="DD30" i="1" s="1"/>
  <c r="DD57" i="1"/>
  <c r="DD121" i="1"/>
  <c r="DD104" i="1"/>
  <c r="DD124" i="1"/>
  <c r="DD125" i="1"/>
  <c r="DD122" i="1"/>
  <c r="DA101" i="1"/>
  <c r="DA90" i="1"/>
  <c r="DA112" i="1"/>
  <c r="DA49" i="1"/>
  <c r="DA27" i="1"/>
  <c r="DA16" i="1"/>
  <c r="DA72" i="1"/>
  <c r="DA64" i="1" s="1"/>
  <c r="DA40" i="1"/>
  <c r="DA39" i="1"/>
  <c r="DA37" i="1"/>
  <c r="DA36" i="1"/>
  <c r="DA35" i="1"/>
  <c r="DA34" i="1"/>
  <c r="DA33" i="1"/>
  <c r="DA32" i="1"/>
  <c r="DA31" i="1"/>
  <c r="DD52" i="1" l="1"/>
  <c r="DG60" i="1"/>
  <c r="DG116" i="1"/>
  <c r="DG118" i="1"/>
  <c r="DG117" i="1"/>
  <c r="DD120" i="1"/>
  <c r="DD119" i="1"/>
  <c r="DD116" i="1"/>
  <c r="DD123" i="1"/>
  <c r="DD115" i="1" s="1"/>
  <c r="DD117" i="1"/>
  <c r="DA104" i="1"/>
  <c r="DB112" i="1"/>
  <c r="DB101" i="1"/>
  <c r="DA54" i="1"/>
  <c r="DA117" i="1" s="1"/>
  <c r="DA55" i="1"/>
  <c r="DA118" i="1" s="1"/>
  <c r="DA56" i="1"/>
  <c r="DA119" i="1" s="1"/>
  <c r="DA58" i="1"/>
  <c r="DA121" i="1" s="1"/>
  <c r="DA62" i="1"/>
  <c r="DA125" i="1" s="1"/>
  <c r="DA19" i="1"/>
  <c r="DB27" i="1"/>
  <c r="DA59" i="1"/>
  <c r="DA61" i="1"/>
  <c r="DA124" i="1" s="1"/>
  <c r="DA93" i="1"/>
  <c r="DA82" i="1"/>
  <c r="DB90" i="1" s="1"/>
  <c r="DA41" i="1"/>
  <c r="DA53" i="1"/>
  <c r="DA8" i="1"/>
  <c r="DA38" i="1"/>
  <c r="DA57" i="1"/>
  <c r="CX31" i="1"/>
  <c r="CX32" i="1"/>
  <c r="CX33" i="1"/>
  <c r="CX34" i="1"/>
  <c r="CX35" i="1"/>
  <c r="CX36" i="1"/>
  <c r="CX37" i="1"/>
  <c r="CU112" i="1"/>
  <c r="CU104" i="1" s="1"/>
  <c r="CU101" i="1"/>
  <c r="CU93" i="1"/>
  <c r="CU90" i="1"/>
  <c r="CU82" i="1"/>
  <c r="CU72" i="1"/>
  <c r="CU64" i="1" s="1"/>
  <c r="CU49" i="1"/>
  <c r="CU41" i="1" s="1"/>
  <c r="CU40" i="1"/>
  <c r="CU62" i="1" s="1"/>
  <c r="CU39" i="1"/>
  <c r="CU61" i="1" s="1"/>
  <c r="CU37" i="1"/>
  <c r="CU59" i="1" s="1"/>
  <c r="CU36" i="1"/>
  <c r="CU58" i="1" s="1"/>
  <c r="CU35" i="1"/>
  <c r="CU57" i="1" s="1"/>
  <c r="CU34" i="1"/>
  <c r="CU56" i="1" s="1"/>
  <c r="CU33" i="1"/>
  <c r="CU55" i="1" s="1"/>
  <c r="CU32" i="1"/>
  <c r="CU54" i="1" s="1"/>
  <c r="CU31" i="1"/>
  <c r="CU53" i="1" s="1"/>
  <c r="CU27" i="1"/>
  <c r="CU19" i="1" s="1"/>
  <c r="CU16" i="1"/>
  <c r="CU8" i="1" s="1"/>
  <c r="DE14" i="1" l="1"/>
  <c r="DE13" i="1"/>
  <c r="DE12" i="1"/>
  <c r="DH18" i="1"/>
  <c r="DE11" i="1"/>
  <c r="DH17" i="1"/>
  <c r="DE10" i="1"/>
  <c r="DE9" i="1"/>
  <c r="DH15" i="1"/>
  <c r="DH10" i="1"/>
  <c r="DE17" i="1"/>
  <c r="DH14" i="1"/>
  <c r="DH13" i="1"/>
  <c r="DH12" i="1"/>
  <c r="DH11" i="1"/>
  <c r="DH9" i="1"/>
  <c r="DE18" i="1"/>
  <c r="DE15" i="1"/>
  <c r="DE16" i="1"/>
  <c r="DH16" i="1"/>
  <c r="DH110" i="1"/>
  <c r="DE107" i="1"/>
  <c r="DH109" i="1"/>
  <c r="DE106" i="1"/>
  <c r="DH108" i="1"/>
  <c r="DE105" i="1"/>
  <c r="DH107" i="1"/>
  <c r="DH106" i="1"/>
  <c r="DH105" i="1"/>
  <c r="DH111" i="1"/>
  <c r="DE114" i="1"/>
  <c r="DE113" i="1"/>
  <c r="DH114" i="1"/>
  <c r="DE111" i="1"/>
  <c r="DH113" i="1"/>
  <c r="DE110" i="1"/>
  <c r="DE109" i="1"/>
  <c r="DE108" i="1"/>
  <c r="DH112" i="1"/>
  <c r="DE112" i="1"/>
  <c r="DH89" i="1"/>
  <c r="DE85" i="1"/>
  <c r="DH88" i="1"/>
  <c r="DE84" i="1"/>
  <c r="DH87" i="1"/>
  <c r="DE83" i="1"/>
  <c r="DH86" i="1"/>
  <c r="DH85" i="1"/>
  <c r="DH84" i="1"/>
  <c r="DH83" i="1"/>
  <c r="DH92" i="1"/>
  <c r="DE92" i="1"/>
  <c r="DE91" i="1"/>
  <c r="DE89" i="1"/>
  <c r="DE88" i="1"/>
  <c r="DH91" i="1"/>
  <c r="DE87" i="1"/>
  <c r="DE86" i="1"/>
  <c r="DH90" i="1"/>
  <c r="DE90" i="1"/>
  <c r="DH22" i="1"/>
  <c r="DH21" i="1"/>
  <c r="DH20" i="1"/>
  <c r="DE29" i="1"/>
  <c r="DE26" i="1"/>
  <c r="DH28" i="1"/>
  <c r="DE28" i="1"/>
  <c r="DE25" i="1"/>
  <c r="DE24" i="1"/>
  <c r="DE23" i="1"/>
  <c r="DH29" i="1"/>
  <c r="DE22" i="1"/>
  <c r="DE21" i="1"/>
  <c r="DE20" i="1"/>
  <c r="DH26" i="1"/>
  <c r="DH25" i="1"/>
  <c r="DH24" i="1"/>
  <c r="DH23" i="1"/>
  <c r="DH27" i="1"/>
  <c r="DE27" i="1"/>
  <c r="DH44" i="1"/>
  <c r="DH43" i="1"/>
  <c r="DH42" i="1"/>
  <c r="DE50" i="1"/>
  <c r="DE46" i="1"/>
  <c r="DH51" i="1"/>
  <c r="DE45" i="1"/>
  <c r="DE44" i="1"/>
  <c r="DH46" i="1"/>
  <c r="DH45" i="1"/>
  <c r="DE51" i="1"/>
  <c r="DE48" i="1"/>
  <c r="DE47" i="1"/>
  <c r="DH50" i="1"/>
  <c r="DE43" i="1"/>
  <c r="DH48" i="1"/>
  <c r="DE42" i="1"/>
  <c r="DH47" i="1"/>
  <c r="DH49" i="1"/>
  <c r="DE49" i="1"/>
  <c r="DE103" i="1"/>
  <c r="DE102" i="1"/>
  <c r="DE100" i="1"/>
  <c r="DH102" i="1"/>
  <c r="DH96" i="1"/>
  <c r="DH95" i="1"/>
  <c r="DH103" i="1"/>
  <c r="DE99" i="1"/>
  <c r="DE98" i="1"/>
  <c r="DE97" i="1"/>
  <c r="DH100" i="1"/>
  <c r="DE96" i="1"/>
  <c r="DH99" i="1"/>
  <c r="DE95" i="1"/>
  <c r="DH98" i="1"/>
  <c r="DE94" i="1"/>
  <c r="DH97" i="1"/>
  <c r="DH94" i="1"/>
  <c r="DH101" i="1"/>
  <c r="DE101" i="1"/>
  <c r="DG123" i="1"/>
  <c r="DG115" i="1" s="1"/>
  <c r="DB107" i="1"/>
  <c r="DB108" i="1"/>
  <c r="DB106" i="1"/>
  <c r="DB109" i="1"/>
  <c r="DB110" i="1"/>
  <c r="DB111" i="1"/>
  <c r="DB113" i="1"/>
  <c r="DB114" i="1"/>
  <c r="DB105" i="1"/>
  <c r="DA30" i="1"/>
  <c r="DA52" i="1" s="1"/>
  <c r="DB13" i="1"/>
  <c r="DB14" i="1"/>
  <c r="DB15" i="1"/>
  <c r="DB17" i="1"/>
  <c r="DB18" i="1"/>
  <c r="DB9" i="1"/>
  <c r="DB11" i="1"/>
  <c r="DB12" i="1"/>
  <c r="DB10" i="1"/>
  <c r="DB23" i="1"/>
  <c r="DB21" i="1"/>
  <c r="DB22" i="1"/>
  <c r="DB24" i="1"/>
  <c r="DB25" i="1"/>
  <c r="DB26" i="1"/>
  <c r="DB28" i="1"/>
  <c r="DB29" i="1"/>
  <c r="DB20" i="1"/>
  <c r="DB43" i="1"/>
  <c r="DB44" i="1"/>
  <c r="DB45" i="1"/>
  <c r="DB46" i="1"/>
  <c r="DB47" i="1"/>
  <c r="DB48" i="1"/>
  <c r="DB50" i="1"/>
  <c r="DB51" i="1"/>
  <c r="DB42" i="1"/>
  <c r="DB85" i="1"/>
  <c r="DB84" i="1"/>
  <c r="DB87" i="1"/>
  <c r="DB88" i="1"/>
  <c r="DB89" i="1"/>
  <c r="DB91" i="1"/>
  <c r="DB92" i="1"/>
  <c r="DB83" i="1"/>
  <c r="DB86" i="1"/>
  <c r="DB98" i="1"/>
  <c r="DB99" i="1"/>
  <c r="DB100" i="1"/>
  <c r="DB102" i="1"/>
  <c r="DB103" i="1"/>
  <c r="DB94" i="1"/>
  <c r="DB96" i="1"/>
  <c r="DB97" i="1"/>
  <c r="DB95" i="1"/>
  <c r="DA122" i="1"/>
  <c r="CU38" i="1"/>
  <c r="CU60" i="1" s="1"/>
  <c r="CU123" i="1" s="1"/>
  <c r="DB49" i="1"/>
  <c r="DB16" i="1"/>
  <c r="DA60" i="1"/>
  <c r="DA120" i="1"/>
  <c r="DA116" i="1"/>
  <c r="CU30" i="1"/>
  <c r="CU52" i="1" s="1"/>
  <c r="CU116" i="1"/>
  <c r="CU124" i="1"/>
  <c r="CU125" i="1"/>
  <c r="CU118" i="1"/>
  <c r="CU122" i="1"/>
  <c r="CU117" i="1"/>
  <c r="CU119" i="1"/>
  <c r="CU120" i="1"/>
  <c r="CU121" i="1"/>
  <c r="CX72" i="1"/>
  <c r="DB53" i="1" l="1"/>
  <c r="DH56" i="1"/>
  <c r="DH57" i="1"/>
  <c r="DE55" i="1"/>
  <c r="DH58" i="1"/>
  <c r="DE58" i="1"/>
  <c r="DH61" i="1"/>
  <c r="DH59" i="1"/>
  <c r="DE62" i="1"/>
  <c r="DE59" i="1"/>
  <c r="DE61" i="1"/>
  <c r="DH62" i="1"/>
  <c r="DE56" i="1"/>
  <c r="DE53" i="1"/>
  <c r="DE60" i="1"/>
  <c r="DE54" i="1"/>
  <c r="DH55" i="1"/>
  <c r="DH54" i="1"/>
  <c r="DE57" i="1"/>
  <c r="DH53" i="1"/>
  <c r="DH60" i="1"/>
  <c r="DB58" i="1"/>
  <c r="DB56" i="1"/>
  <c r="DB60" i="1"/>
  <c r="DB38" i="1"/>
  <c r="DE31" i="1"/>
  <c r="DE37" i="1"/>
  <c r="DH39" i="1"/>
  <c r="DH40" i="1"/>
  <c r="DE32" i="1"/>
  <c r="DE33" i="1"/>
  <c r="DE39" i="1"/>
  <c r="DE40" i="1"/>
  <c r="DE36" i="1"/>
  <c r="DH32" i="1"/>
  <c r="DH34" i="1"/>
  <c r="DH37" i="1"/>
  <c r="DE34" i="1"/>
  <c r="DE35" i="1"/>
  <c r="DH31" i="1"/>
  <c r="DH36" i="1"/>
  <c r="DH33" i="1"/>
  <c r="DH35" i="1"/>
  <c r="DH38" i="1"/>
  <c r="DE38" i="1"/>
  <c r="DB57" i="1"/>
  <c r="DB54" i="1"/>
  <c r="DB62" i="1"/>
  <c r="DB61" i="1"/>
  <c r="DB55" i="1"/>
  <c r="DB40" i="1"/>
  <c r="DB31" i="1"/>
  <c r="DB35" i="1"/>
  <c r="DB33" i="1"/>
  <c r="DB34" i="1"/>
  <c r="DB36" i="1"/>
  <c r="DB32" i="1"/>
  <c r="DB37" i="1"/>
  <c r="DB39" i="1"/>
  <c r="DB59" i="1"/>
  <c r="DA123" i="1"/>
  <c r="CU115" i="1"/>
  <c r="CR112" i="1"/>
  <c r="CR104" i="1"/>
  <c r="CR101" i="1"/>
  <c r="CR93" i="1" s="1"/>
  <c r="CR90" i="1"/>
  <c r="CR82" i="1" s="1"/>
  <c r="CR72" i="1"/>
  <c r="CR49" i="1"/>
  <c r="CR41" i="1" s="1"/>
  <c r="CR40" i="1"/>
  <c r="CR39" i="1"/>
  <c r="CR61" i="1" s="1"/>
  <c r="CR124" i="1" s="1"/>
  <c r="CR37" i="1"/>
  <c r="CR59" i="1" s="1"/>
  <c r="CR36" i="1"/>
  <c r="CR35" i="1"/>
  <c r="CR57" i="1" s="1"/>
  <c r="CR34" i="1"/>
  <c r="CR56" i="1" s="1"/>
  <c r="CR33" i="1"/>
  <c r="CR55" i="1" s="1"/>
  <c r="CR32" i="1"/>
  <c r="CR31" i="1"/>
  <c r="CR53" i="1" s="1"/>
  <c r="CR27" i="1"/>
  <c r="CR16" i="1"/>
  <c r="CR8" i="1" s="1"/>
  <c r="DA115" i="1" l="1"/>
  <c r="CS97" i="1"/>
  <c r="CS103" i="1"/>
  <c r="CS102" i="1"/>
  <c r="CS94" i="1"/>
  <c r="CS99" i="1"/>
  <c r="CS98" i="1"/>
  <c r="CS95" i="1"/>
  <c r="CS45" i="1"/>
  <c r="CS42" i="1"/>
  <c r="CS50" i="1"/>
  <c r="CS46" i="1"/>
  <c r="CS49" i="1"/>
  <c r="CS101" i="1"/>
  <c r="CR64" i="1"/>
  <c r="CS67" i="1" s="1"/>
  <c r="CS18" i="1"/>
  <c r="CS14" i="1"/>
  <c r="CS10" i="1"/>
  <c r="CS17" i="1"/>
  <c r="CS13" i="1"/>
  <c r="CS9" i="1"/>
  <c r="CS12" i="1"/>
  <c r="CR54" i="1"/>
  <c r="CR58" i="1"/>
  <c r="CR121" i="1" s="1"/>
  <c r="CS11" i="1"/>
  <c r="CS16" i="1"/>
  <c r="CS15" i="1"/>
  <c r="CR120" i="1"/>
  <c r="CS92" i="1"/>
  <c r="CS88" i="1"/>
  <c r="CS84" i="1"/>
  <c r="CS91" i="1"/>
  <c r="CS87" i="1"/>
  <c r="CS83" i="1"/>
  <c r="CS86" i="1"/>
  <c r="CS114" i="1"/>
  <c r="CS110" i="1"/>
  <c r="CS106" i="1"/>
  <c r="CS113" i="1"/>
  <c r="CS109" i="1"/>
  <c r="CS105" i="1"/>
  <c r="CS108" i="1"/>
  <c r="CS111" i="1"/>
  <c r="CS107" i="1"/>
  <c r="CS85" i="1"/>
  <c r="CR116" i="1"/>
  <c r="CS90" i="1"/>
  <c r="CS89" i="1"/>
  <c r="CS43" i="1"/>
  <c r="CS47" i="1"/>
  <c r="CS51" i="1"/>
  <c r="CS112" i="1"/>
  <c r="CR38" i="1"/>
  <c r="CS44" i="1"/>
  <c r="CS48" i="1"/>
  <c r="CS96" i="1"/>
  <c r="CS100" i="1"/>
  <c r="CR122" i="1"/>
  <c r="CR118" i="1"/>
  <c r="CR119" i="1"/>
  <c r="CR19" i="1"/>
  <c r="CR62" i="1"/>
  <c r="CX101" i="1"/>
  <c r="CX90" i="1"/>
  <c r="CX82" i="1" s="1"/>
  <c r="CX27" i="1"/>
  <c r="CX49" i="1"/>
  <c r="CX16" i="1"/>
  <c r="DH121" i="1" l="1"/>
  <c r="DH120" i="1"/>
  <c r="DE125" i="1"/>
  <c r="DE121" i="1"/>
  <c r="DE118" i="1"/>
  <c r="DH122" i="1"/>
  <c r="DE124" i="1"/>
  <c r="DE122" i="1"/>
  <c r="DH125" i="1"/>
  <c r="DH124" i="1"/>
  <c r="DH119" i="1"/>
  <c r="DH117" i="1"/>
  <c r="DE117" i="1"/>
  <c r="DH118" i="1"/>
  <c r="DH116" i="1"/>
  <c r="DE116" i="1"/>
  <c r="DE119" i="1"/>
  <c r="DE120" i="1"/>
  <c r="DE123" i="1"/>
  <c r="DH123" i="1"/>
  <c r="DB118" i="1"/>
  <c r="DB121" i="1"/>
  <c r="DB117" i="1"/>
  <c r="DB119" i="1"/>
  <c r="DB125" i="1"/>
  <c r="DB124" i="1"/>
  <c r="DB116" i="1"/>
  <c r="DB122" i="1"/>
  <c r="DB120" i="1"/>
  <c r="DB123" i="1"/>
  <c r="CS68" i="1"/>
  <c r="CS74" i="1"/>
  <c r="CS69" i="1"/>
  <c r="CS73" i="1"/>
  <c r="CS70" i="1"/>
  <c r="CS66" i="1"/>
  <c r="CS65" i="1"/>
  <c r="CS72" i="1"/>
  <c r="CY91" i="1"/>
  <c r="CV91" i="1"/>
  <c r="CV83" i="1"/>
  <c r="CV87" i="1"/>
  <c r="CV89" i="1"/>
  <c r="CV88" i="1"/>
  <c r="CV86" i="1"/>
  <c r="CV84" i="1"/>
  <c r="CV85" i="1"/>
  <c r="CV92" i="1"/>
  <c r="CV90" i="1"/>
  <c r="CS71" i="1"/>
  <c r="CR30" i="1"/>
  <c r="CS38" i="1" s="1"/>
  <c r="CS23" i="1"/>
  <c r="CS26" i="1"/>
  <c r="CS22" i="1"/>
  <c r="CS29" i="1"/>
  <c r="CS25" i="1"/>
  <c r="CS21" i="1"/>
  <c r="CS24" i="1"/>
  <c r="CS20" i="1"/>
  <c r="CS28" i="1"/>
  <c r="CS27" i="1"/>
  <c r="CR60" i="1"/>
  <c r="CR117" i="1"/>
  <c r="CY90" i="1"/>
  <c r="CX38" i="1"/>
  <c r="CR125" i="1"/>
  <c r="CO49" i="1"/>
  <c r="CO41" i="1" s="1"/>
  <c r="CO27" i="1"/>
  <c r="CO19" i="1" s="1"/>
  <c r="CO16" i="1"/>
  <c r="CO8" i="1" s="1"/>
  <c r="CR123" i="1" l="1"/>
  <c r="CR52" i="1"/>
  <c r="CS39" i="1"/>
  <c r="CS35" i="1"/>
  <c r="CS31" i="1"/>
  <c r="CS34" i="1"/>
  <c r="CS37" i="1"/>
  <c r="CS33" i="1"/>
  <c r="CS32" i="1"/>
  <c r="CS40" i="1"/>
  <c r="CS36" i="1"/>
  <c r="CR115" i="1"/>
  <c r="CS125" i="1" s="1"/>
  <c r="CO112" i="1"/>
  <c r="CO104" i="1" s="1"/>
  <c r="CO122" i="1"/>
  <c r="CO90" i="1"/>
  <c r="CP89" i="1"/>
  <c r="CS123" i="1" l="1"/>
  <c r="CS124" i="1"/>
  <c r="CS118" i="1"/>
  <c r="CS119" i="1"/>
  <c r="CS120" i="1"/>
  <c r="CS122" i="1"/>
  <c r="CS121" i="1"/>
  <c r="CS116" i="1"/>
  <c r="CS117" i="1"/>
  <c r="CS56" i="1"/>
  <c r="CS59" i="1"/>
  <c r="CS55" i="1"/>
  <c r="CS57" i="1"/>
  <c r="CS61" i="1"/>
  <c r="CS53" i="1"/>
  <c r="CS62" i="1"/>
  <c r="CS58" i="1"/>
  <c r="CS54" i="1"/>
  <c r="CS60" i="1"/>
  <c r="CO82" i="1"/>
  <c r="CX112" i="1" l="1"/>
  <c r="CX104" i="1" s="1"/>
  <c r="CX93" i="1"/>
  <c r="CY92" i="1"/>
  <c r="CY85" i="1"/>
  <c r="CY87" i="1"/>
  <c r="CY88" i="1"/>
  <c r="CY89" i="1"/>
  <c r="CY84" i="1"/>
  <c r="CX64" i="1"/>
  <c r="CX59" i="1"/>
  <c r="CX122" i="1" s="1"/>
  <c r="CX39" i="1"/>
  <c r="CX61" i="1" s="1"/>
  <c r="CX40" i="1"/>
  <c r="CX62" i="1" s="1"/>
  <c r="CX125" i="1" s="1"/>
  <c r="CX8" i="1"/>
  <c r="CV14" i="1" l="1"/>
  <c r="CV13" i="1"/>
  <c r="CV12" i="1"/>
  <c r="CV11" i="1"/>
  <c r="CV17" i="1"/>
  <c r="CV9" i="1"/>
  <c r="CV15" i="1"/>
  <c r="CV10" i="1"/>
  <c r="CV18" i="1"/>
  <c r="CV16" i="1"/>
  <c r="CV99" i="1"/>
  <c r="CV98" i="1"/>
  <c r="CV96" i="1"/>
  <c r="CV97" i="1"/>
  <c r="CV103" i="1"/>
  <c r="CV102" i="1"/>
  <c r="CV95" i="1"/>
  <c r="CV101" i="1"/>
  <c r="CV94" i="1"/>
  <c r="CV100" i="1"/>
  <c r="CY107" i="1"/>
  <c r="CV114" i="1"/>
  <c r="CV106" i="1"/>
  <c r="CV111" i="1"/>
  <c r="CV113" i="1"/>
  <c r="CV105" i="1"/>
  <c r="CV110" i="1"/>
  <c r="CV109" i="1"/>
  <c r="CV108" i="1"/>
  <c r="CV107" i="1"/>
  <c r="CV112" i="1"/>
  <c r="CY99" i="1"/>
  <c r="CY16" i="1"/>
  <c r="CY94" i="1"/>
  <c r="CY100" i="1"/>
  <c r="CY98" i="1"/>
  <c r="CY97" i="1"/>
  <c r="CY96" i="1"/>
  <c r="CY103" i="1"/>
  <c r="CY95" i="1"/>
  <c r="CY102" i="1"/>
  <c r="CY101" i="1"/>
  <c r="CY86" i="1"/>
  <c r="CY114" i="1"/>
  <c r="CY106" i="1"/>
  <c r="CY113" i="1"/>
  <c r="CY111" i="1"/>
  <c r="CY110" i="1"/>
  <c r="CY112" i="1"/>
  <c r="CY109" i="1"/>
  <c r="CY108" i="1"/>
  <c r="CY105" i="1"/>
  <c r="CY83" i="1"/>
  <c r="CX60" i="1"/>
  <c r="CX123" i="1" s="1"/>
  <c r="CX41" i="1"/>
  <c r="CX19" i="1"/>
  <c r="CY12" i="1"/>
  <c r="CY14" i="1"/>
  <c r="CY9" i="1"/>
  <c r="CY11" i="1"/>
  <c r="CY18" i="1"/>
  <c r="CY10" i="1"/>
  <c r="CY15" i="1"/>
  <c r="CY13" i="1"/>
  <c r="CY17" i="1"/>
  <c r="CP114" i="1"/>
  <c r="CP113" i="1"/>
  <c r="CP112" i="1"/>
  <c r="CP110" i="1"/>
  <c r="CP109" i="1"/>
  <c r="CP108" i="1"/>
  <c r="CP107" i="1"/>
  <c r="CP106" i="1"/>
  <c r="CP105" i="1"/>
  <c r="CO93" i="1"/>
  <c r="CP92" i="1"/>
  <c r="CP91" i="1"/>
  <c r="CP90" i="1"/>
  <c r="CP88" i="1"/>
  <c r="CP87" i="1"/>
  <c r="CP86" i="1"/>
  <c r="CP85" i="1"/>
  <c r="CP84" i="1"/>
  <c r="CP83" i="1"/>
  <c r="CP51" i="1"/>
  <c r="CP50" i="1"/>
  <c r="CP49" i="1"/>
  <c r="CP47" i="1"/>
  <c r="CP46" i="1"/>
  <c r="CP45" i="1"/>
  <c r="CP44" i="1"/>
  <c r="CP43" i="1"/>
  <c r="CP42" i="1"/>
  <c r="CO40" i="1"/>
  <c r="CP40" i="1" s="1"/>
  <c r="CO39" i="1"/>
  <c r="CO61" i="1" s="1"/>
  <c r="CO124" i="1" s="1"/>
  <c r="CO38" i="1"/>
  <c r="CP38" i="1" s="1"/>
  <c r="CO36" i="1"/>
  <c r="CP36" i="1" s="1"/>
  <c r="CO35" i="1"/>
  <c r="CO57" i="1" s="1"/>
  <c r="CO120" i="1" s="1"/>
  <c r="CO34" i="1"/>
  <c r="CO56" i="1" s="1"/>
  <c r="CO119" i="1" s="1"/>
  <c r="CO33" i="1"/>
  <c r="CP33" i="1" s="1"/>
  <c r="CO32" i="1"/>
  <c r="CP32" i="1" s="1"/>
  <c r="CO31" i="1"/>
  <c r="CP31" i="1" s="1"/>
  <c r="CP29" i="1"/>
  <c r="CP28" i="1"/>
  <c r="CP27" i="1"/>
  <c r="CP25" i="1"/>
  <c r="CP24" i="1"/>
  <c r="CP23" i="1"/>
  <c r="CP22" i="1"/>
  <c r="CP21" i="1"/>
  <c r="CP20" i="1"/>
  <c r="CP18" i="1"/>
  <c r="CP17" i="1"/>
  <c r="CP16" i="1"/>
  <c r="CP14" i="1"/>
  <c r="CP13" i="1"/>
  <c r="CP12" i="1"/>
  <c r="CP11" i="1"/>
  <c r="CP10" i="1"/>
  <c r="CP9" i="1"/>
  <c r="CX53" i="1"/>
  <c r="CX116" i="1" s="1"/>
  <c r="CX54" i="1"/>
  <c r="CX117" i="1" s="1"/>
  <c r="CX55" i="1"/>
  <c r="CX118" i="1" s="1"/>
  <c r="CX56" i="1"/>
  <c r="CX119" i="1" s="1"/>
  <c r="CX57" i="1"/>
  <c r="CX120" i="1" s="1"/>
  <c r="CX58" i="1"/>
  <c r="CX121" i="1" s="1"/>
  <c r="CY50" i="1" l="1"/>
  <c r="CV46" i="1"/>
  <c r="CV45" i="1"/>
  <c r="CV51" i="1"/>
  <c r="CV44" i="1"/>
  <c r="CV43" i="1"/>
  <c r="CV47" i="1"/>
  <c r="CV42" i="1"/>
  <c r="CV48" i="1"/>
  <c r="CV50" i="1"/>
  <c r="CV49" i="1"/>
  <c r="CY21" i="1"/>
  <c r="CV29" i="1"/>
  <c r="CV22" i="1"/>
  <c r="CV28" i="1"/>
  <c r="CV21" i="1"/>
  <c r="CV26" i="1"/>
  <c r="CV20" i="1"/>
  <c r="CV25" i="1"/>
  <c r="CV24" i="1"/>
  <c r="CV23" i="1"/>
  <c r="CV27" i="1"/>
  <c r="CY48" i="1"/>
  <c r="CY28" i="1"/>
  <c r="CY22" i="1"/>
  <c r="CY20" i="1"/>
  <c r="CY27" i="1"/>
  <c r="CY42" i="1"/>
  <c r="CY49" i="1"/>
  <c r="CY29" i="1"/>
  <c r="CY51" i="1"/>
  <c r="CY45" i="1"/>
  <c r="CY44" i="1"/>
  <c r="CY43" i="1"/>
  <c r="CY23" i="1"/>
  <c r="CY46" i="1"/>
  <c r="CY25" i="1"/>
  <c r="CY47" i="1"/>
  <c r="CY26" i="1"/>
  <c r="CO30" i="1"/>
  <c r="CO52" i="1" s="1"/>
  <c r="CY24" i="1"/>
  <c r="CX124" i="1"/>
  <c r="CO55" i="1"/>
  <c r="CO62" i="1"/>
  <c r="CO125" i="1" s="1"/>
  <c r="CP57" i="1"/>
  <c r="CP35" i="1"/>
  <c r="CO53" i="1"/>
  <c r="CO116" i="1" s="1"/>
  <c r="CO60" i="1"/>
  <c r="CO123" i="1" s="1"/>
  <c r="CX30" i="1"/>
  <c r="CP56" i="1"/>
  <c r="CP61" i="1"/>
  <c r="CP34" i="1"/>
  <c r="CP39" i="1"/>
  <c r="CO54" i="1"/>
  <c r="CO117" i="1" s="1"/>
  <c r="CO58" i="1"/>
  <c r="CO121" i="1" s="1"/>
  <c r="CM113" i="1"/>
  <c r="CL112" i="1"/>
  <c r="CM112" i="1" s="1"/>
  <c r="CM110" i="1"/>
  <c r="CM109" i="1"/>
  <c r="CM108" i="1"/>
  <c r="CM107" i="1"/>
  <c r="CM106" i="1"/>
  <c r="CM105" i="1"/>
  <c r="CL104" i="1"/>
  <c r="CM102" i="1"/>
  <c r="CL101" i="1"/>
  <c r="CM101" i="1" s="1"/>
  <c r="CM99" i="1"/>
  <c r="CM98" i="1"/>
  <c r="CM97" i="1"/>
  <c r="CM96" i="1"/>
  <c r="CM95" i="1"/>
  <c r="CM94" i="1"/>
  <c r="CL93" i="1"/>
  <c r="CM91" i="1"/>
  <c r="CL90" i="1"/>
  <c r="CM90" i="1" s="1"/>
  <c r="CM88" i="1"/>
  <c r="CM87" i="1"/>
  <c r="CM86" i="1"/>
  <c r="CM85" i="1"/>
  <c r="CM84" i="1"/>
  <c r="CM83" i="1"/>
  <c r="CL82" i="1"/>
  <c r="CM73" i="1"/>
  <c r="CM72" i="1"/>
  <c r="CM70" i="1"/>
  <c r="CM69" i="1"/>
  <c r="CM68" i="1"/>
  <c r="CM67" i="1"/>
  <c r="CM66" i="1"/>
  <c r="CM65" i="1"/>
  <c r="CM50" i="1"/>
  <c r="CL49" i="1"/>
  <c r="CM47" i="1"/>
  <c r="CM46" i="1"/>
  <c r="CM45" i="1"/>
  <c r="CM44" i="1"/>
  <c r="CM43" i="1"/>
  <c r="CM42" i="1"/>
  <c r="CL41" i="1"/>
  <c r="CL39" i="1"/>
  <c r="CL61" i="1" s="1"/>
  <c r="CL36" i="1"/>
  <c r="CM36" i="1" s="1"/>
  <c r="CL35" i="1"/>
  <c r="CL57" i="1" s="1"/>
  <c r="CL34" i="1"/>
  <c r="CL56" i="1" s="1"/>
  <c r="CL33" i="1"/>
  <c r="CM33" i="1" s="1"/>
  <c r="CL32" i="1"/>
  <c r="CM32" i="1" s="1"/>
  <c r="CL31" i="1"/>
  <c r="CL53" i="1" s="1"/>
  <c r="CM28" i="1"/>
  <c r="CL27" i="1"/>
  <c r="CM27" i="1" s="1"/>
  <c r="CM25" i="1"/>
  <c r="CM24" i="1"/>
  <c r="CM23" i="1"/>
  <c r="CM22" i="1"/>
  <c r="CM21" i="1"/>
  <c r="CM20" i="1"/>
  <c r="CL19" i="1"/>
  <c r="CM17" i="1"/>
  <c r="CL16" i="1"/>
  <c r="CM16" i="1" s="1"/>
  <c r="CM14" i="1"/>
  <c r="CM13" i="1"/>
  <c r="CM12" i="1"/>
  <c r="CM11" i="1"/>
  <c r="CM10" i="1"/>
  <c r="CM9" i="1"/>
  <c r="CL8" i="1"/>
  <c r="CV40" i="1" l="1"/>
  <c r="CV35" i="1"/>
  <c r="CV33" i="1"/>
  <c r="CV39" i="1"/>
  <c r="CV37" i="1"/>
  <c r="CV34" i="1"/>
  <c r="CV38" i="1"/>
  <c r="CV36" i="1"/>
  <c r="CV31" i="1"/>
  <c r="CV32" i="1"/>
  <c r="CL30" i="1"/>
  <c r="CL52" i="1" s="1"/>
  <c r="CX52" i="1"/>
  <c r="CY31" i="1"/>
  <c r="CY38" i="1"/>
  <c r="CX115" i="1"/>
  <c r="CP55" i="1"/>
  <c r="CO118" i="1"/>
  <c r="CY39" i="1"/>
  <c r="CY40" i="1"/>
  <c r="CY37" i="1"/>
  <c r="CY35" i="1"/>
  <c r="CY32" i="1"/>
  <c r="CY36" i="1"/>
  <c r="CY33" i="1"/>
  <c r="CY34" i="1"/>
  <c r="CP62" i="1"/>
  <c r="CL58" i="1"/>
  <c r="CL121" i="1" s="1"/>
  <c r="CM121" i="1" s="1"/>
  <c r="CP53" i="1"/>
  <c r="CP60" i="1"/>
  <c r="CP58" i="1"/>
  <c r="CP54" i="1"/>
  <c r="CL55" i="1"/>
  <c r="CL118" i="1" s="1"/>
  <c r="CM118" i="1" s="1"/>
  <c r="CL38" i="1"/>
  <c r="CM38" i="1" s="1"/>
  <c r="CL54" i="1"/>
  <c r="CL117" i="1" s="1"/>
  <c r="CM117" i="1" s="1"/>
  <c r="CM39" i="1"/>
  <c r="CM34" i="1"/>
  <c r="CL119" i="1"/>
  <c r="CM119" i="1" s="1"/>
  <c r="CM56" i="1"/>
  <c r="CM57" i="1"/>
  <c r="CL120" i="1"/>
  <c r="CM120" i="1" s="1"/>
  <c r="CM53" i="1"/>
  <c r="CL116" i="1"/>
  <c r="CM116" i="1" s="1"/>
  <c r="CM61" i="1"/>
  <c r="CL124" i="1"/>
  <c r="CM31" i="1"/>
  <c r="CM35" i="1"/>
  <c r="CM49" i="1"/>
  <c r="CM58" i="1" l="1"/>
  <c r="CV116" i="1"/>
  <c r="CV123" i="1"/>
  <c r="CV119" i="1"/>
  <c r="CV121" i="1"/>
  <c r="CV118" i="1"/>
  <c r="CV125" i="1"/>
  <c r="CV122" i="1"/>
  <c r="CV120" i="1"/>
  <c r="CV117" i="1"/>
  <c r="CV124" i="1"/>
  <c r="CV61" i="1"/>
  <c r="CV54" i="1"/>
  <c r="CV62" i="1"/>
  <c r="CV56" i="1"/>
  <c r="CV59" i="1"/>
  <c r="CV60" i="1"/>
  <c r="CV55" i="1"/>
  <c r="CV57" i="1"/>
  <c r="CV53" i="1"/>
  <c r="CV58" i="1"/>
  <c r="CY125" i="1"/>
  <c r="CY53" i="1"/>
  <c r="CY119" i="1"/>
  <c r="CY120" i="1"/>
  <c r="CY117" i="1"/>
  <c r="CY121" i="1"/>
  <c r="CY122" i="1"/>
  <c r="CY116" i="1"/>
  <c r="CY123" i="1"/>
  <c r="CY124" i="1"/>
  <c r="CY118" i="1"/>
  <c r="CY58" i="1"/>
  <c r="CY59" i="1"/>
  <c r="CY60" i="1"/>
  <c r="CY54" i="1"/>
  <c r="CY62" i="1"/>
  <c r="CY55" i="1"/>
  <c r="CY61" i="1"/>
  <c r="CY56" i="1"/>
  <c r="CY57" i="1"/>
  <c r="CM55" i="1"/>
  <c r="CO115" i="1"/>
  <c r="CM54" i="1"/>
  <c r="CL60" i="1"/>
  <c r="CM124" i="1"/>
  <c r="CL115" i="1"/>
  <c r="CP122" i="1" l="1"/>
  <c r="CP119" i="1"/>
  <c r="CP124" i="1"/>
  <c r="CP120" i="1"/>
  <c r="CP121" i="1"/>
  <c r="CP123" i="1"/>
  <c r="CP116" i="1"/>
  <c r="CP125" i="1"/>
  <c r="CP117" i="1"/>
  <c r="CP118" i="1"/>
  <c r="CM60" i="1"/>
  <c r="CL123" i="1"/>
  <c r="CM123" i="1" s="1"/>
  <c r="CI104" i="1" l="1"/>
  <c r="CJ110" i="1" s="1"/>
  <c r="CI112" i="1"/>
  <c r="CI93" i="1"/>
  <c r="CJ102" i="1" s="1"/>
  <c r="CI101" i="1"/>
  <c r="CI8" i="1"/>
  <c r="CJ14" i="1" s="1"/>
  <c r="CI19" i="1"/>
  <c r="CJ28" i="1" s="1"/>
  <c r="CI41" i="1"/>
  <c r="CJ45" i="1" s="1"/>
  <c r="CI82" i="1"/>
  <c r="CJ84" i="1" s="1"/>
  <c r="CI90" i="1"/>
  <c r="CI39" i="1"/>
  <c r="CI36" i="1"/>
  <c r="CI58" i="1" s="1"/>
  <c r="CI121" i="1" s="1"/>
  <c r="CI35" i="1"/>
  <c r="CI57" i="1" s="1"/>
  <c r="CI120" i="1" s="1"/>
  <c r="CI34" i="1"/>
  <c r="CI56" i="1" s="1"/>
  <c r="CI119" i="1" s="1"/>
  <c r="CI33" i="1"/>
  <c r="CI55" i="1" s="1"/>
  <c r="CI118" i="1" s="1"/>
  <c r="CI32" i="1"/>
  <c r="CI54" i="1" s="1"/>
  <c r="CI117" i="1" s="1"/>
  <c r="CI31" i="1"/>
  <c r="CI53" i="1" s="1"/>
  <c r="CI116" i="1" s="1"/>
  <c r="CI49" i="1"/>
  <c r="CI27" i="1"/>
  <c r="CI16" i="1"/>
  <c r="CI30" i="1" l="1"/>
  <c r="CJ39" i="1" s="1"/>
  <c r="CJ94" i="1"/>
  <c r="CJ49" i="1"/>
  <c r="CJ46" i="1"/>
  <c r="CJ47" i="1"/>
  <c r="CJ101" i="1"/>
  <c r="CJ108" i="1"/>
  <c r="CJ90" i="1"/>
  <c r="CJ95" i="1"/>
  <c r="CI61" i="1"/>
  <c r="CI124" i="1" s="1"/>
  <c r="CJ96" i="1"/>
  <c r="CJ99" i="1"/>
  <c r="CJ85" i="1"/>
  <c r="CJ86" i="1"/>
  <c r="CI38" i="1"/>
  <c r="CI60" i="1" s="1"/>
  <c r="CI123" i="1" s="1"/>
  <c r="CJ97" i="1"/>
  <c r="CJ106" i="1"/>
  <c r="CJ87" i="1"/>
  <c r="CJ113" i="1"/>
  <c r="CJ88" i="1"/>
  <c r="CJ105" i="1"/>
  <c r="CJ50" i="1"/>
  <c r="CJ91" i="1"/>
  <c r="CJ98" i="1"/>
  <c r="CJ107" i="1"/>
  <c r="CJ83" i="1"/>
  <c r="CJ109" i="1"/>
  <c r="CJ112" i="1"/>
  <c r="CJ43" i="1"/>
  <c r="CJ42" i="1"/>
  <c r="CJ44" i="1"/>
  <c r="CJ20" i="1"/>
  <c r="CJ21" i="1"/>
  <c r="CJ22" i="1"/>
  <c r="CJ23" i="1"/>
  <c r="CJ24" i="1"/>
  <c r="CJ25" i="1"/>
  <c r="CJ27" i="1"/>
  <c r="CJ16" i="1"/>
  <c r="CJ17" i="1"/>
  <c r="CJ9" i="1"/>
  <c r="CJ10" i="1"/>
  <c r="CJ11" i="1"/>
  <c r="CJ13" i="1"/>
  <c r="CJ12" i="1"/>
  <c r="CJ33" i="1" l="1"/>
  <c r="CJ35" i="1"/>
  <c r="CJ34" i="1"/>
  <c r="CJ32" i="1"/>
  <c r="CJ31" i="1"/>
  <c r="CJ36" i="1"/>
  <c r="CJ38" i="1"/>
  <c r="CI115" i="1"/>
  <c r="CJ116" i="1" s="1"/>
  <c r="CI52" i="1"/>
  <c r="CJ61" i="1" s="1"/>
  <c r="CJ57" i="1" l="1"/>
  <c r="CJ58" i="1"/>
  <c r="CJ55" i="1"/>
  <c r="CJ53" i="1"/>
  <c r="CJ54" i="1"/>
  <c r="CJ123" i="1"/>
  <c r="CJ56" i="1"/>
  <c r="CJ60" i="1"/>
  <c r="CJ121" i="1"/>
  <c r="CJ117" i="1"/>
  <c r="CJ118" i="1"/>
  <c r="CJ124" i="1"/>
  <c r="CJ119" i="1"/>
  <c r="CJ120" i="1"/>
  <c r="CF90" i="1"/>
  <c r="CF27" i="1"/>
  <c r="CF16" i="1"/>
  <c r="CC112" i="1"/>
  <c r="CC101" i="1"/>
  <c r="CC90" i="1"/>
  <c r="CC72" i="1"/>
  <c r="CC49" i="1"/>
  <c r="CC41" i="1" s="1"/>
  <c r="CC39" i="1"/>
  <c r="CC61" i="1" s="1"/>
  <c r="CC36" i="1"/>
  <c r="CC35" i="1"/>
  <c r="CC57" i="1" s="1"/>
  <c r="CC34" i="1"/>
  <c r="CC56" i="1" s="1"/>
  <c r="CC33" i="1"/>
  <c r="CC55" i="1" s="1"/>
  <c r="CC118" i="1" s="1"/>
  <c r="CC32" i="1"/>
  <c r="CC31" i="1"/>
  <c r="CC53" i="1" s="1"/>
  <c r="CC27" i="1"/>
  <c r="CC16" i="1"/>
  <c r="CC64" i="1" l="1"/>
  <c r="CD44" i="1"/>
  <c r="CD43" i="1"/>
  <c r="CD50" i="1"/>
  <c r="CD42" i="1"/>
  <c r="CD46" i="1"/>
  <c r="CD45" i="1"/>
  <c r="CD47" i="1"/>
  <c r="CC120" i="1"/>
  <c r="CC116" i="1"/>
  <c r="CC124" i="1"/>
  <c r="CC119" i="1"/>
  <c r="CC93" i="1"/>
  <c r="CD101" i="1" s="1"/>
  <c r="CC38" i="1"/>
  <c r="CC19" i="1"/>
  <c r="CC54" i="1"/>
  <c r="CC58" i="1"/>
  <c r="CC82" i="1"/>
  <c r="CD90" i="1" s="1"/>
  <c r="CD49" i="1"/>
  <c r="CC104" i="1"/>
  <c r="CC8" i="1"/>
  <c r="BZ112" i="1"/>
  <c r="BZ101" i="1"/>
  <c r="BZ93" i="1" s="1"/>
  <c r="BZ90" i="1"/>
  <c r="BZ72" i="1"/>
  <c r="BZ64" i="1" s="1"/>
  <c r="CA66" i="1" s="1"/>
  <c r="BZ49" i="1"/>
  <c r="BZ39" i="1"/>
  <c r="BZ36" i="1"/>
  <c r="BZ58" i="1" s="1"/>
  <c r="BZ121" i="1" s="1"/>
  <c r="BZ35" i="1"/>
  <c r="BZ57" i="1" s="1"/>
  <c r="BZ34" i="1"/>
  <c r="BZ56" i="1" s="1"/>
  <c r="BZ33" i="1"/>
  <c r="BZ55" i="1" s="1"/>
  <c r="BZ32" i="1"/>
  <c r="BZ54" i="1" s="1"/>
  <c r="BZ31" i="1"/>
  <c r="BZ53" i="1" s="1"/>
  <c r="BZ27" i="1"/>
  <c r="BZ16" i="1"/>
  <c r="CA70" i="1" l="1"/>
  <c r="CA67" i="1"/>
  <c r="CA68" i="1"/>
  <c r="BZ8" i="1"/>
  <c r="CA69" i="1"/>
  <c r="CA72" i="1"/>
  <c r="CA73" i="1"/>
  <c r="CA65" i="1"/>
  <c r="CD66" i="1"/>
  <c r="CD70" i="1"/>
  <c r="CD69" i="1"/>
  <c r="CD68" i="1"/>
  <c r="CD67" i="1"/>
  <c r="CD65" i="1"/>
  <c r="CD73" i="1"/>
  <c r="CD72" i="1"/>
  <c r="CD14" i="1"/>
  <c r="CD13" i="1"/>
  <c r="CD11" i="1"/>
  <c r="CD10" i="1"/>
  <c r="CD17" i="1"/>
  <c r="CD9" i="1"/>
  <c r="CD12" i="1"/>
  <c r="CD106" i="1"/>
  <c r="CD110" i="1"/>
  <c r="CD113" i="1"/>
  <c r="CD105" i="1"/>
  <c r="CD108" i="1"/>
  <c r="CD107" i="1"/>
  <c r="CD109" i="1"/>
  <c r="CC121" i="1"/>
  <c r="CC117" i="1"/>
  <c r="CC60" i="1"/>
  <c r="CD25" i="1"/>
  <c r="CD21" i="1"/>
  <c r="CD24" i="1"/>
  <c r="CD23" i="1"/>
  <c r="CD22" i="1"/>
  <c r="CD28" i="1"/>
  <c r="CD20" i="1"/>
  <c r="CD97" i="1"/>
  <c r="CD96" i="1"/>
  <c r="CD95" i="1"/>
  <c r="CD102" i="1"/>
  <c r="CD94" i="1"/>
  <c r="CD99" i="1"/>
  <c r="CD98" i="1"/>
  <c r="CD27" i="1"/>
  <c r="CD88" i="1"/>
  <c r="CD86" i="1"/>
  <c r="CD85" i="1"/>
  <c r="CD84" i="1"/>
  <c r="CD87" i="1"/>
  <c r="CD91" i="1"/>
  <c r="CD83" i="1"/>
  <c r="CD16" i="1"/>
  <c r="CC30" i="1"/>
  <c r="CD112" i="1"/>
  <c r="BZ116" i="1"/>
  <c r="BZ60" i="1"/>
  <c r="BZ119" i="1"/>
  <c r="BZ120" i="1"/>
  <c r="CA97" i="1"/>
  <c r="CA98" i="1"/>
  <c r="CA96" i="1"/>
  <c r="CA102" i="1"/>
  <c r="CA95" i="1"/>
  <c r="CA94" i="1"/>
  <c r="CA99" i="1"/>
  <c r="BZ118" i="1"/>
  <c r="BZ19" i="1"/>
  <c r="BZ117" i="1"/>
  <c r="CA101" i="1"/>
  <c r="BZ41" i="1"/>
  <c r="BZ61" i="1"/>
  <c r="BZ104" i="1"/>
  <c r="BZ38" i="1"/>
  <c r="BZ82" i="1"/>
  <c r="CA90" i="1" s="1"/>
  <c r="CF112" i="1"/>
  <c r="CA13" i="1" l="1"/>
  <c r="CA10" i="1"/>
  <c r="CA12" i="1"/>
  <c r="CA11" i="1"/>
  <c r="CA9" i="1"/>
  <c r="CA14" i="1"/>
  <c r="CA17" i="1"/>
  <c r="CA16" i="1"/>
  <c r="CC52" i="1"/>
  <c r="CD60" i="1" s="1"/>
  <c r="CD36" i="1"/>
  <c r="CD32" i="1"/>
  <c r="CD33" i="1"/>
  <c r="CD39" i="1"/>
  <c r="CD35" i="1"/>
  <c r="CD34" i="1"/>
  <c r="CD31" i="1"/>
  <c r="CD38" i="1"/>
  <c r="CC123" i="1"/>
  <c r="BZ124" i="1"/>
  <c r="CA44" i="1"/>
  <c r="CA45" i="1"/>
  <c r="CA43" i="1"/>
  <c r="CA47" i="1"/>
  <c r="CA50" i="1"/>
  <c r="CA42" i="1"/>
  <c r="CA46" i="1"/>
  <c r="CA49" i="1"/>
  <c r="BZ30" i="1"/>
  <c r="CA38" i="1" s="1"/>
  <c r="CA25" i="1"/>
  <c r="CA21" i="1"/>
  <c r="CA20" i="1"/>
  <c r="CA24" i="1"/>
  <c r="CA22" i="1"/>
  <c r="CA28" i="1"/>
  <c r="CA23" i="1"/>
  <c r="CA27" i="1"/>
  <c r="CA88" i="1"/>
  <c r="CA84" i="1"/>
  <c r="CA83" i="1"/>
  <c r="CA87" i="1"/>
  <c r="CA86" i="1"/>
  <c r="CA85" i="1"/>
  <c r="CA91" i="1"/>
  <c r="BZ52" i="1"/>
  <c r="CA61" i="1" s="1"/>
  <c r="BZ123" i="1"/>
  <c r="CA106" i="1"/>
  <c r="CA113" i="1"/>
  <c r="CA105" i="1"/>
  <c r="CA110" i="1"/>
  <c r="CA109" i="1"/>
  <c r="CA108" i="1"/>
  <c r="CA107" i="1"/>
  <c r="CA112" i="1"/>
  <c r="CF101" i="1"/>
  <c r="CF49" i="1"/>
  <c r="CF19" i="1"/>
  <c r="CF8" i="1"/>
  <c r="BW112" i="1"/>
  <c r="BW104" i="1" s="1"/>
  <c r="BW101" i="1"/>
  <c r="BW93" i="1" s="1"/>
  <c r="BX98" i="1" s="1"/>
  <c r="BW90" i="1"/>
  <c r="BW72" i="1"/>
  <c r="BW49" i="1"/>
  <c r="BW39" i="1"/>
  <c r="BW61" i="1" s="1"/>
  <c r="BW124" i="1" s="1"/>
  <c r="BW36" i="1"/>
  <c r="BW58" i="1" s="1"/>
  <c r="BW35" i="1"/>
  <c r="BW57" i="1" s="1"/>
  <c r="BW34" i="1"/>
  <c r="BW56" i="1" s="1"/>
  <c r="BW119" i="1" s="1"/>
  <c r="BW33" i="1"/>
  <c r="BW55" i="1" s="1"/>
  <c r="BW118" i="1" s="1"/>
  <c r="BW32" i="1"/>
  <c r="BW31" i="1"/>
  <c r="BW27" i="1"/>
  <c r="BW16" i="1"/>
  <c r="CA60" i="1" l="1"/>
  <c r="CC115" i="1"/>
  <c r="CD123" i="1" s="1"/>
  <c r="CD55" i="1"/>
  <c r="CD53" i="1"/>
  <c r="CD57" i="1"/>
  <c r="CD56" i="1"/>
  <c r="CD61" i="1"/>
  <c r="CD54" i="1"/>
  <c r="CD58" i="1"/>
  <c r="CA39" i="1"/>
  <c r="CA33" i="1"/>
  <c r="CA32" i="1"/>
  <c r="CA31" i="1"/>
  <c r="CA35" i="1"/>
  <c r="CA34" i="1"/>
  <c r="CA36" i="1"/>
  <c r="BZ115" i="1"/>
  <c r="CA124" i="1" s="1"/>
  <c r="CA56" i="1"/>
  <c r="CA53" i="1"/>
  <c r="CA57" i="1"/>
  <c r="CA58" i="1"/>
  <c r="CA54" i="1"/>
  <c r="CA55" i="1"/>
  <c r="BW38" i="1"/>
  <c r="BW30" i="1" s="1"/>
  <c r="BW120" i="1"/>
  <c r="BW121" i="1"/>
  <c r="BX109" i="1"/>
  <c r="BX106" i="1"/>
  <c r="BX108" i="1"/>
  <c r="BX107" i="1"/>
  <c r="BX113" i="1"/>
  <c r="BX105" i="1"/>
  <c r="BX110" i="1"/>
  <c r="BW41" i="1"/>
  <c r="BX49" i="1" s="1"/>
  <c r="BX95" i="1"/>
  <c r="BX112" i="1"/>
  <c r="BW53" i="1"/>
  <c r="BW64" i="1"/>
  <c r="BX72" i="1" s="1"/>
  <c r="BX97" i="1"/>
  <c r="BW19" i="1"/>
  <c r="BW54" i="1"/>
  <c r="BW82" i="1"/>
  <c r="BX99" i="1"/>
  <c r="BX101" i="1"/>
  <c r="BX94" i="1"/>
  <c r="BX102" i="1"/>
  <c r="BX96" i="1"/>
  <c r="BW8" i="1"/>
  <c r="F121" i="1"/>
  <c r="F120" i="1"/>
  <c r="I121" i="1"/>
  <c r="I120" i="1"/>
  <c r="L121" i="1"/>
  <c r="L120" i="1"/>
  <c r="O121" i="1"/>
  <c r="O120" i="1"/>
  <c r="R121" i="1"/>
  <c r="R120" i="1"/>
  <c r="U121" i="1"/>
  <c r="U120" i="1"/>
  <c r="X121" i="1"/>
  <c r="X120" i="1"/>
  <c r="AA121" i="1"/>
  <c r="AA120" i="1"/>
  <c r="AD121" i="1"/>
  <c r="AD120" i="1"/>
  <c r="AG121" i="1"/>
  <c r="AG120" i="1"/>
  <c r="AJ121" i="1"/>
  <c r="AJ120" i="1"/>
  <c r="AM121" i="1"/>
  <c r="AM120" i="1"/>
  <c r="AP121" i="1"/>
  <c r="AP120" i="1"/>
  <c r="AS121" i="1"/>
  <c r="AS120" i="1"/>
  <c r="AV121" i="1"/>
  <c r="AV120" i="1"/>
  <c r="AY121" i="1"/>
  <c r="AY120" i="1"/>
  <c r="BB121" i="1"/>
  <c r="BB120" i="1"/>
  <c r="BE121" i="1"/>
  <c r="BE120" i="1"/>
  <c r="BH121" i="1"/>
  <c r="BH120" i="1"/>
  <c r="CF93" i="1"/>
  <c r="CG95" i="1" s="1"/>
  <c r="CF72" i="1"/>
  <c r="CF64" i="1" s="1"/>
  <c r="CF39" i="1"/>
  <c r="CF61" i="1" s="1"/>
  <c r="CF124" i="1" s="1"/>
  <c r="CF36" i="1"/>
  <c r="CF58" i="1" s="1"/>
  <c r="CF121" i="1" s="1"/>
  <c r="CF35" i="1"/>
  <c r="CF57" i="1" s="1"/>
  <c r="CF120" i="1" s="1"/>
  <c r="CF34" i="1"/>
  <c r="CF56" i="1" s="1"/>
  <c r="CF119" i="1" s="1"/>
  <c r="CF33" i="1"/>
  <c r="CF55" i="1" s="1"/>
  <c r="CF118" i="1" s="1"/>
  <c r="CF32" i="1"/>
  <c r="CF31" i="1"/>
  <c r="CF53" i="1" s="1"/>
  <c r="CF116" i="1" s="1"/>
  <c r="BX36" i="1" l="1"/>
  <c r="BX31" i="1"/>
  <c r="BX32" i="1"/>
  <c r="BX33" i="1"/>
  <c r="BX35" i="1"/>
  <c r="CD118" i="1"/>
  <c r="CD119" i="1"/>
  <c r="CD116" i="1"/>
  <c r="CD124" i="1"/>
  <c r="CD120" i="1"/>
  <c r="CD121" i="1"/>
  <c r="CD117" i="1"/>
  <c r="CA121" i="1"/>
  <c r="CA119" i="1"/>
  <c r="CA116" i="1"/>
  <c r="CA117" i="1"/>
  <c r="CA118" i="1"/>
  <c r="CA120" i="1"/>
  <c r="CA123" i="1"/>
  <c r="CF54" i="1"/>
  <c r="CF117" i="1" s="1"/>
  <c r="CF123" i="1" s="1"/>
  <c r="BX91" i="1"/>
  <c r="BX83" i="1"/>
  <c r="BX86" i="1"/>
  <c r="BX84" i="1"/>
  <c r="BX88" i="1"/>
  <c r="BX87" i="1"/>
  <c r="BX85" i="1"/>
  <c r="BX12" i="1"/>
  <c r="BX11" i="1"/>
  <c r="BX17" i="1"/>
  <c r="BX14" i="1"/>
  <c r="BX13" i="1"/>
  <c r="BX10" i="1"/>
  <c r="BX9" i="1"/>
  <c r="BX38" i="1"/>
  <c r="BX47" i="1"/>
  <c r="BX44" i="1"/>
  <c r="BX46" i="1"/>
  <c r="BX45" i="1"/>
  <c r="BX43" i="1"/>
  <c r="BX50" i="1"/>
  <c r="BX42" i="1"/>
  <c r="BX16" i="1"/>
  <c r="BW117" i="1"/>
  <c r="BX28" i="1"/>
  <c r="BX20" i="1"/>
  <c r="BX24" i="1"/>
  <c r="BX21" i="1"/>
  <c r="BX25" i="1"/>
  <c r="BX23" i="1"/>
  <c r="BX22" i="1"/>
  <c r="BX39" i="1"/>
  <c r="BX34" i="1"/>
  <c r="BX69" i="1"/>
  <c r="BX67" i="1"/>
  <c r="BX73" i="1"/>
  <c r="BX65" i="1"/>
  <c r="BX66" i="1"/>
  <c r="BX70" i="1"/>
  <c r="BX68" i="1"/>
  <c r="BX27" i="1"/>
  <c r="BW60" i="1"/>
  <c r="BW116" i="1"/>
  <c r="BX90" i="1"/>
  <c r="CG96" i="1"/>
  <c r="CG98" i="1"/>
  <c r="CG99" i="1"/>
  <c r="CG101" i="1"/>
  <c r="CG16" i="1"/>
  <c r="CG72" i="1"/>
  <c r="CG97" i="1"/>
  <c r="CF38" i="1"/>
  <c r="CG27" i="1"/>
  <c r="CF82" i="1"/>
  <c r="CF41" i="1"/>
  <c r="CG49" i="1" s="1"/>
  <c r="CG94" i="1"/>
  <c r="CG102" i="1"/>
  <c r="CF104" i="1"/>
  <c r="BQ112" i="1"/>
  <c r="BQ104" i="1" s="1"/>
  <c r="BR113" i="1" s="1"/>
  <c r="BQ101" i="1"/>
  <c r="BQ93" i="1" s="1"/>
  <c r="BR102" i="1" s="1"/>
  <c r="BQ90" i="1"/>
  <c r="BQ82" i="1" s="1"/>
  <c r="BR91" i="1" s="1"/>
  <c r="BQ72" i="1"/>
  <c r="BQ64" i="1" s="1"/>
  <c r="BR73" i="1" s="1"/>
  <c r="BQ49" i="1"/>
  <c r="BQ41" i="1" s="1"/>
  <c r="BR50" i="1" s="1"/>
  <c r="BQ39" i="1"/>
  <c r="BQ61" i="1" s="1"/>
  <c r="BQ124" i="1" s="1"/>
  <c r="BQ36" i="1"/>
  <c r="BQ58" i="1" s="1"/>
  <c r="BQ121" i="1" s="1"/>
  <c r="BQ35" i="1"/>
  <c r="BQ57" i="1" s="1"/>
  <c r="BQ120" i="1" s="1"/>
  <c r="BQ34" i="1"/>
  <c r="BQ56" i="1" s="1"/>
  <c r="BQ119" i="1" s="1"/>
  <c r="BQ33" i="1"/>
  <c r="BQ55" i="1" s="1"/>
  <c r="BQ118" i="1" s="1"/>
  <c r="BQ32" i="1"/>
  <c r="BQ54" i="1" s="1"/>
  <c r="BQ117" i="1" s="1"/>
  <c r="BQ31" i="1"/>
  <c r="BQ53" i="1" s="1"/>
  <c r="BQ116" i="1" s="1"/>
  <c r="BQ27" i="1"/>
  <c r="BQ19" i="1" s="1"/>
  <c r="BR28" i="1" s="1"/>
  <c r="BQ16" i="1"/>
  <c r="BQ8" i="1" s="1"/>
  <c r="BR17" i="1" s="1"/>
  <c r="BT112" i="1"/>
  <c r="BT101" i="1"/>
  <c r="BT90" i="1"/>
  <c r="BT72" i="1"/>
  <c r="BT49" i="1"/>
  <c r="BT39" i="1"/>
  <c r="BT61" i="1" s="1"/>
  <c r="BT124" i="1" s="1"/>
  <c r="BT36" i="1"/>
  <c r="BT58" i="1" s="1"/>
  <c r="BT121" i="1" s="1"/>
  <c r="BT35" i="1"/>
  <c r="BT57" i="1" s="1"/>
  <c r="BT120" i="1" s="1"/>
  <c r="BT34" i="1"/>
  <c r="BT56" i="1" s="1"/>
  <c r="BT119" i="1" s="1"/>
  <c r="BT33" i="1"/>
  <c r="BT55" i="1" s="1"/>
  <c r="BT118" i="1" s="1"/>
  <c r="BT32" i="1"/>
  <c r="BT54" i="1" s="1"/>
  <c r="BT117" i="1" s="1"/>
  <c r="BT31" i="1"/>
  <c r="BT53" i="1" s="1"/>
  <c r="BT116" i="1" s="1"/>
  <c r="BT27" i="1"/>
  <c r="BT16" i="1"/>
  <c r="BN112" i="1"/>
  <c r="BN101" i="1"/>
  <c r="BN90" i="1"/>
  <c r="BN72" i="1"/>
  <c r="BN49" i="1"/>
  <c r="BN41" i="1" s="1"/>
  <c r="BO50" i="1" s="1"/>
  <c r="BN39" i="1"/>
  <c r="BN61" i="1" s="1"/>
  <c r="BN124" i="1" s="1"/>
  <c r="BN36" i="1"/>
  <c r="BN58" i="1" s="1"/>
  <c r="BN121" i="1" s="1"/>
  <c r="BN35" i="1"/>
  <c r="BN57" i="1" s="1"/>
  <c r="BN120" i="1" s="1"/>
  <c r="BN34" i="1"/>
  <c r="BN56" i="1" s="1"/>
  <c r="BN119" i="1" s="1"/>
  <c r="BN33" i="1"/>
  <c r="BN55" i="1" s="1"/>
  <c r="BN118" i="1" s="1"/>
  <c r="BN32" i="1"/>
  <c r="BN54" i="1" s="1"/>
  <c r="BN117" i="1" s="1"/>
  <c r="BN31" i="1"/>
  <c r="BN53" i="1" s="1"/>
  <c r="BN116" i="1" s="1"/>
  <c r="BN27" i="1"/>
  <c r="BN16" i="1"/>
  <c r="BN8" i="1" s="1"/>
  <c r="BO16" i="1" s="1"/>
  <c r="BK112" i="1"/>
  <c r="BK104" i="1" s="1"/>
  <c r="BK101" i="1"/>
  <c r="BK93" i="1" s="1"/>
  <c r="BK90" i="1"/>
  <c r="BK82" i="1" s="1"/>
  <c r="BK72" i="1"/>
  <c r="BK64" i="1" s="1"/>
  <c r="BK36" i="1"/>
  <c r="BK58" i="1" s="1"/>
  <c r="BK121" i="1" s="1"/>
  <c r="BK31" i="1"/>
  <c r="BK53" i="1" s="1"/>
  <c r="BK116" i="1" s="1"/>
  <c r="BK32" i="1"/>
  <c r="BK54" i="1" s="1"/>
  <c r="BK117" i="1" s="1"/>
  <c r="BK33" i="1"/>
  <c r="BK55" i="1" s="1"/>
  <c r="BK118" i="1" s="1"/>
  <c r="BK34" i="1"/>
  <c r="BK56" i="1" s="1"/>
  <c r="BK119" i="1" s="1"/>
  <c r="BK35" i="1"/>
  <c r="BK57" i="1" s="1"/>
  <c r="BK120" i="1" s="1"/>
  <c r="BK39" i="1"/>
  <c r="BK61" i="1" s="1"/>
  <c r="BK124" i="1" s="1"/>
  <c r="BK49" i="1"/>
  <c r="BK41" i="1" s="1"/>
  <c r="BK27" i="1"/>
  <c r="BK19" i="1" s="1"/>
  <c r="BK16" i="1"/>
  <c r="BK8" i="1" s="1"/>
  <c r="AY16" i="1"/>
  <c r="AY8" i="1" s="1"/>
  <c r="BH112" i="1"/>
  <c r="BH104" i="1" s="1"/>
  <c r="BH101" i="1"/>
  <c r="BH93" i="1" s="1"/>
  <c r="BI102" i="1" s="1"/>
  <c r="BH90" i="1"/>
  <c r="BH82" i="1" s="1"/>
  <c r="BH72" i="1"/>
  <c r="BH64" i="1" s="1"/>
  <c r="BH39" i="1"/>
  <c r="BH61" i="1" s="1"/>
  <c r="BH124" i="1" s="1"/>
  <c r="BH31" i="1"/>
  <c r="BH53" i="1" s="1"/>
  <c r="BH116" i="1" s="1"/>
  <c r="BH32" i="1"/>
  <c r="BH54" i="1" s="1"/>
  <c r="BH117" i="1" s="1"/>
  <c r="BH33" i="1"/>
  <c r="BH55" i="1" s="1"/>
  <c r="BH118" i="1" s="1"/>
  <c r="BH34" i="1"/>
  <c r="BH56" i="1" s="1"/>
  <c r="BH119" i="1" s="1"/>
  <c r="BH49" i="1"/>
  <c r="BH41" i="1" s="1"/>
  <c r="BH27" i="1"/>
  <c r="BH19" i="1" s="1"/>
  <c r="BH16" i="1"/>
  <c r="BH8" i="1" s="1"/>
  <c r="BI17" i="1" s="1"/>
  <c r="BE101" i="1"/>
  <c r="BE93" i="1" s="1"/>
  <c r="BF102" i="1" s="1"/>
  <c r="BE112" i="1"/>
  <c r="BE104" i="1" s="1"/>
  <c r="BE90" i="1"/>
  <c r="BE82" i="1" s="1"/>
  <c r="BE72" i="1"/>
  <c r="BE64" i="1" s="1"/>
  <c r="BF73" i="1" s="1"/>
  <c r="BE39" i="1"/>
  <c r="BE61" i="1" s="1"/>
  <c r="BE124" i="1" s="1"/>
  <c r="BE31" i="1"/>
  <c r="BE53" i="1" s="1"/>
  <c r="BE116" i="1" s="1"/>
  <c r="BE32" i="1"/>
  <c r="BE54" i="1" s="1"/>
  <c r="BE117" i="1" s="1"/>
  <c r="BE33" i="1"/>
  <c r="BE55" i="1" s="1"/>
  <c r="BE118" i="1" s="1"/>
  <c r="BE34" i="1"/>
  <c r="BE56" i="1" s="1"/>
  <c r="BE119" i="1" s="1"/>
  <c r="BE49" i="1"/>
  <c r="BE41" i="1" s="1"/>
  <c r="BE27" i="1"/>
  <c r="BE19" i="1" s="1"/>
  <c r="BE16" i="1"/>
  <c r="BE8" i="1" s="1"/>
  <c r="BF17" i="1" s="1"/>
  <c r="BB50" i="1"/>
  <c r="BB45" i="1"/>
  <c r="BB44" i="1"/>
  <c r="BB43" i="1"/>
  <c r="BB42" i="1"/>
  <c r="AY42" i="1"/>
  <c r="AY49" i="1" s="1"/>
  <c r="AY41" i="1" s="1"/>
  <c r="BB16" i="1"/>
  <c r="BB8" i="1" s="1"/>
  <c r="BB112" i="1"/>
  <c r="BB104" i="1" s="1"/>
  <c r="BB101" i="1"/>
  <c r="BB93" i="1" s="1"/>
  <c r="BB90" i="1"/>
  <c r="BB82" i="1" s="1"/>
  <c r="BB72" i="1"/>
  <c r="BB64" i="1" s="1"/>
  <c r="BB39" i="1"/>
  <c r="BB31" i="1"/>
  <c r="BB53" i="1" s="1"/>
  <c r="BB116" i="1" s="1"/>
  <c r="BB32" i="1"/>
  <c r="BB33" i="1"/>
  <c r="BB34" i="1"/>
  <c r="BB27" i="1"/>
  <c r="BB19" i="1" s="1"/>
  <c r="AY102" i="1"/>
  <c r="AY84" i="1"/>
  <c r="AY90" i="1" s="1"/>
  <c r="AY39" i="1"/>
  <c r="AY61" i="1" s="1"/>
  <c r="AY33" i="1"/>
  <c r="AY55" i="1" s="1"/>
  <c r="AY118" i="1" s="1"/>
  <c r="AY31" i="1"/>
  <c r="AY32" i="1"/>
  <c r="AY54" i="1" s="1"/>
  <c r="AY34" i="1"/>
  <c r="AY56" i="1" s="1"/>
  <c r="AY119" i="1" s="1"/>
  <c r="AS31" i="1"/>
  <c r="AS32" i="1"/>
  <c r="AS33" i="1"/>
  <c r="AS55" i="1" s="1"/>
  <c r="AS118" i="1" s="1"/>
  <c r="AS34" i="1"/>
  <c r="AS56" i="1" s="1"/>
  <c r="AS119" i="1" s="1"/>
  <c r="AP31" i="1"/>
  <c r="AP32" i="1"/>
  <c r="AP33" i="1"/>
  <c r="AP34" i="1"/>
  <c r="AM31" i="1"/>
  <c r="AM32" i="1"/>
  <c r="AM54" i="1" s="1"/>
  <c r="AM117" i="1" s="1"/>
  <c r="AM33" i="1"/>
  <c r="AM34" i="1"/>
  <c r="AM56" i="1" s="1"/>
  <c r="AM119" i="1" s="1"/>
  <c r="AY112" i="1"/>
  <c r="AY104" i="1" s="1"/>
  <c r="AY101" i="1"/>
  <c r="AY72" i="1"/>
  <c r="AY64" i="1" s="1"/>
  <c r="AY27" i="1"/>
  <c r="AY19" i="1" s="1"/>
  <c r="AV113" i="1"/>
  <c r="AV91" i="1"/>
  <c r="AV50" i="1"/>
  <c r="AV45" i="1"/>
  <c r="AV44" i="1"/>
  <c r="AV43" i="1"/>
  <c r="AV42" i="1"/>
  <c r="AV28" i="1"/>
  <c r="AV17" i="1"/>
  <c r="AV112" i="1"/>
  <c r="AV101" i="1"/>
  <c r="AV93" i="1" s="1"/>
  <c r="AV90" i="1"/>
  <c r="AV72" i="1"/>
  <c r="AV31" i="1"/>
  <c r="AV32" i="1"/>
  <c r="AV33" i="1"/>
  <c r="AV34" i="1"/>
  <c r="AV27" i="1"/>
  <c r="AV16" i="1"/>
  <c r="AS113" i="1"/>
  <c r="AS91" i="1"/>
  <c r="AS50" i="1"/>
  <c r="AS43" i="1"/>
  <c r="AS42" i="1"/>
  <c r="AS28" i="1"/>
  <c r="AS17" i="1"/>
  <c r="AS112" i="1"/>
  <c r="AS101" i="1"/>
  <c r="AS93" i="1" s="1"/>
  <c r="AT96" i="1" s="1"/>
  <c r="AS90" i="1"/>
  <c r="AS72" i="1"/>
  <c r="AS64" i="1" s="1"/>
  <c r="AT67" i="1" s="1"/>
  <c r="AS27" i="1"/>
  <c r="AS16" i="1"/>
  <c r="AP91" i="1"/>
  <c r="AP50" i="1"/>
  <c r="AP45" i="1"/>
  <c r="AP44" i="1"/>
  <c r="AP43" i="1"/>
  <c r="AP42" i="1"/>
  <c r="AP112" i="1"/>
  <c r="AP104" i="1" s="1"/>
  <c r="AQ113" i="1" s="1"/>
  <c r="AP101" i="1"/>
  <c r="AP93" i="1" s="1"/>
  <c r="AP90" i="1"/>
  <c r="AP82" i="1" s="1"/>
  <c r="AQ91" i="1" s="1"/>
  <c r="AP72" i="1"/>
  <c r="AP64" i="1" s="1"/>
  <c r="AP39" i="1"/>
  <c r="AP27" i="1"/>
  <c r="AP19" i="1" s="1"/>
  <c r="AP16" i="1"/>
  <c r="AP8" i="1" s="1"/>
  <c r="AM101" i="1"/>
  <c r="AM93" i="1" s="1"/>
  <c r="AM91" i="1"/>
  <c r="AM50" i="1"/>
  <c r="AM44" i="1"/>
  <c r="AM42" i="1"/>
  <c r="AM16" i="1"/>
  <c r="AM8" i="1" s="1"/>
  <c r="AN17" i="1" s="1"/>
  <c r="AM112" i="1"/>
  <c r="AM104" i="1" s="1"/>
  <c r="AM90" i="1"/>
  <c r="AM72" i="1"/>
  <c r="AM64" i="1" s="1"/>
  <c r="AM39" i="1"/>
  <c r="AM27" i="1"/>
  <c r="AM19" i="1" s="1"/>
  <c r="AJ91" i="1"/>
  <c r="AJ86" i="1"/>
  <c r="AJ83" i="1"/>
  <c r="AG91" i="1"/>
  <c r="AG86" i="1"/>
  <c r="AG83" i="1"/>
  <c r="AD91" i="1"/>
  <c r="AD86" i="1"/>
  <c r="AD83" i="1"/>
  <c r="AA91" i="1"/>
  <c r="AA86" i="1"/>
  <c r="AA84" i="1"/>
  <c r="AA83" i="1"/>
  <c r="X91" i="1"/>
  <c r="X86" i="1"/>
  <c r="X85" i="1"/>
  <c r="X84" i="1"/>
  <c r="X83" i="1"/>
  <c r="U91" i="1"/>
  <c r="U86" i="1"/>
  <c r="U85" i="1"/>
  <c r="U83" i="1"/>
  <c r="AG101" i="1"/>
  <c r="AG93" i="1" s="1"/>
  <c r="AH94" i="1" s="1"/>
  <c r="AJ101" i="1"/>
  <c r="AJ93" i="1" s="1"/>
  <c r="AD101" i="1"/>
  <c r="AD93" i="1" s="1"/>
  <c r="AA101" i="1"/>
  <c r="AA93" i="1" s="1"/>
  <c r="X101" i="1"/>
  <c r="X93" i="1" s="1"/>
  <c r="U101" i="1"/>
  <c r="U93" i="1" s="1"/>
  <c r="V102" i="1" s="1"/>
  <c r="AJ113" i="1"/>
  <c r="AJ112" i="1"/>
  <c r="AJ85" i="1"/>
  <c r="AJ84" i="1"/>
  <c r="AJ73" i="1"/>
  <c r="AJ45" i="1"/>
  <c r="AJ44" i="1"/>
  <c r="AJ43" i="1"/>
  <c r="AJ42" i="1"/>
  <c r="AJ16" i="1"/>
  <c r="AJ8" i="1" s="1"/>
  <c r="AJ72" i="1"/>
  <c r="AJ39" i="1"/>
  <c r="AJ61" i="1" s="1"/>
  <c r="AJ31" i="1"/>
  <c r="AJ32" i="1"/>
  <c r="AJ33" i="1"/>
  <c r="AJ55" i="1" s="1"/>
  <c r="AJ34" i="1"/>
  <c r="AJ27" i="1"/>
  <c r="AJ19" i="1" s="1"/>
  <c r="AG112" i="1"/>
  <c r="AG104" i="1" s="1"/>
  <c r="AG85" i="1"/>
  <c r="AG50" i="1"/>
  <c r="AG45" i="1"/>
  <c r="AG44" i="1"/>
  <c r="AG43" i="1"/>
  <c r="AG42" i="1"/>
  <c r="AD72" i="1"/>
  <c r="AD64" i="1" s="1"/>
  <c r="AD16" i="1"/>
  <c r="AD8" i="1" s="1"/>
  <c r="AD39" i="1"/>
  <c r="AD61" i="1" s="1"/>
  <c r="AD42" i="1"/>
  <c r="AD49" i="1" s="1"/>
  <c r="AD41" i="1" s="1"/>
  <c r="AE50" i="1" s="1"/>
  <c r="AG72" i="1"/>
  <c r="AG64" i="1" s="1"/>
  <c r="AH73" i="1" s="1"/>
  <c r="AG39" i="1"/>
  <c r="AG31" i="1"/>
  <c r="AG32" i="1"/>
  <c r="AG33" i="1"/>
  <c r="AG34" i="1"/>
  <c r="AG27" i="1"/>
  <c r="AG19" i="1" s="1"/>
  <c r="AG16" i="1"/>
  <c r="AG8" i="1" s="1"/>
  <c r="AD31" i="1"/>
  <c r="AD32" i="1"/>
  <c r="AD54" i="1" s="1"/>
  <c r="AD117" i="1" s="1"/>
  <c r="AD33" i="1"/>
  <c r="AD55" i="1" s="1"/>
  <c r="AD118" i="1" s="1"/>
  <c r="AD34" i="1"/>
  <c r="AD56" i="1" s="1"/>
  <c r="AA39" i="1"/>
  <c r="AA61" i="1" s="1"/>
  <c r="AA31" i="1"/>
  <c r="AA53" i="1" s="1"/>
  <c r="AA32" i="1"/>
  <c r="AA54" i="1" s="1"/>
  <c r="AA33" i="1"/>
  <c r="AA55" i="1" s="1"/>
  <c r="AA118" i="1" s="1"/>
  <c r="AA34" i="1"/>
  <c r="AA56" i="1" s="1"/>
  <c r="X39" i="1"/>
  <c r="X50" i="1"/>
  <c r="X31" i="1"/>
  <c r="X42" i="1"/>
  <c r="X32" i="1"/>
  <c r="X43" i="1"/>
  <c r="X33" i="1"/>
  <c r="X44" i="1"/>
  <c r="X34" i="1"/>
  <c r="X45" i="1"/>
  <c r="U39" i="1"/>
  <c r="U50" i="1"/>
  <c r="U31" i="1"/>
  <c r="U42" i="1"/>
  <c r="U32" i="1"/>
  <c r="U54" i="1" s="1"/>
  <c r="U117" i="1" s="1"/>
  <c r="U33" i="1"/>
  <c r="U44" i="1"/>
  <c r="U34" i="1"/>
  <c r="U45" i="1"/>
  <c r="R39" i="1"/>
  <c r="R50" i="1"/>
  <c r="R31" i="1"/>
  <c r="R53" i="1" s="1"/>
  <c r="R116" i="1" s="1"/>
  <c r="R32" i="1"/>
  <c r="R54" i="1" s="1"/>
  <c r="R117" i="1" s="1"/>
  <c r="R33" i="1"/>
  <c r="R55" i="1" s="1"/>
  <c r="R118" i="1" s="1"/>
  <c r="R34" i="1"/>
  <c r="R56" i="1" s="1"/>
  <c r="R119" i="1" s="1"/>
  <c r="O39" i="1"/>
  <c r="O61" i="1" s="1"/>
  <c r="O124" i="1" s="1"/>
  <c r="O31" i="1"/>
  <c r="O53" i="1" s="1"/>
  <c r="O116" i="1" s="1"/>
  <c r="O32" i="1"/>
  <c r="O54" i="1" s="1"/>
  <c r="O117" i="1" s="1"/>
  <c r="O33" i="1"/>
  <c r="O55" i="1" s="1"/>
  <c r="O118" i="1" s="1"/>
  <c r="O34" i="1"/>
  <c r="O56" i="1" s="1"/>
  <c r="O119" i="1" s="1"/>
  <c r="L39" i="1"/>
  <c r="L61" i="1" s="1"/>
  <c r="L124" i="1" s="1"/>
  <c r="L31" i="1"/>
  <c r="L53" i="1" s="1"/>
  <c r="L116" i="1" s="1"/>
  <c r="L32" i="1"/>
  <c r="L54" i="1" s="1"/>
  <c r="L117" i="1" s="1"/>
  <c r="L33" i="1"/>
  <c r="L55" i="1" s="1"/>
  <c r="L118" i="1" s="1"/>
  <c r="L34" i="1"/>
  <c r="L56" i="1" s="1"/>
  <c r="L119" i="1" s="1"/>
  <c r="I39" i="1"/>
  <c r="I61" i="1" s="1"/>
  <c r="I124" i="1" s="1"/>
  <c r="I31" i="1"/>
  <c r="I53" i="1" s="1"/>
  <c r="I116" i="1" s="1"/>
  <c r="I32" i="1"/>
  <c r="I33" i="1"/>
  <c r="I55" i="1" s="1"/>
  <c r="I118" i="1" s="1"/>
  <c r="I34" i="1"/>
  <c r="I56" i="1" s="1"/>
  <c r="I119" i="1" s="1"/>
  <c r="F39" i="1"/>
  <c r="F61" i="1" s="1"/>
  <c r="F124" i="1" s="1"/>
  <c r="F34" i="1"/>
  <c r="F56" i="1" s="1"/>
  <c r="F119" i="1" s="1"/>
  <c r="F33" i="1"/>
  <c r="F55" i="1" s="1"/>
  <c r="F118" i="1" s="1"/>
  <c r="F32" i="1"/>
  <c r="F54" i="1" s="1"/>
  <c r="F117" i="1" s="1"/>
  <c r="F31" i="1"/>
  <c r="F53" i="1" s="1"/>
  <c r="F116" i="1" s="1"/>
  <c r="AA49" i="1"/>
  <c r="AA41" i="1" s="1"/>
  <c r="R49" i="1"/>
  <c r="O49" i="1"/>
  <c r="O41" i="1" s="1"/>
  <c r="L49" i="1"/>
  <c r="L41" i="1" s="1"/>
  <c r="I49" i="1"/>
  <c r="I41" i="1" s="1"/>
  <c r="F49" i="1"/>
  <c r="F41" i="1" s="1"/>
  <c r="G50" i="1" s="1"/>
  <c r="AD112" i="1"/>
  <c r="AD104" i="1" s="1"/>
  <c r="AA112" i="1"/>
  <c r="AA104" i="1" s="1"/>
  <c r="X113" i="1"/>
  <c r="X112" i="1"/>
  <c r="U112" i="1"/>
  <c r="U104" i="1" s="1"/>
  <c r="R112" i="1"/>
  <c r="R104" i="1" s="1"/>
  <c r="O112" i="1"/>
  <c r="O104" i="1" s="1"/>
  <c r="L112" i="1"/>
  <c r="L104" i="1" s="1"/>
  <c r="I112" i="1"/>
  <c r="I104" i="1" s="1"/>
  <c r="J113" i="1" s="1"/>
  <c r="F112" i="1"/>
  <c r="F104" i="1" s="1"/>
  <c r="R90" i="1"/>
  <c r="R82" i="1" s="1"/>
  <c r="O90" i="1"/>
  <c r="O82" i="1" s="1"/>
  <c r="L90" i="1"/>
  <c r="L82" i="1" s="1"/>
  <c r="I90" i="1"/>
  <c r="I82" i="1" s="1"/>
  <c r="J91" i="1" s="1"/>
  <c r="F90" i="1"/>
  <c r="F82" i="1" s="1"/>
  <c r="AD27" i="1"/>
  <c r="AD19" i="1" s="1"/>
  <c r="AA27" i="1"/>
  <c r="AA19" i="1" s="1"/>
  <c r="X27" i="1"/>
  <c r="X19" i="1" s="1"/>
  <c r="U27" i="1"/>
  <c r="U19" i="1" s="1"/>
  <c r="R27" i="1"/>
  <c r="R19" i="1" s="1"/>
  <c r="O27" i="1"/>
  <c r="O19" i="1" s="1"/>
  <c r="L27" i="1"/>
  <c r="L19" i="1" s="1"/>
  <c r="I27" i="1"/>
  <c r="I19" i="1" s="1"/>
  <c r="F27" i="1"/>
  <c r="F19" i="1" s="1"/>
  <c r="AA72" i="1"/>
  <c r="AA64" i="1" s="1"/>
  <c r="X72" i="1"/>
  <c r="X73" i="1"/>
  <c r="U72" i="1"/>
  <c r="U73" i="1"/>
  <c r="R72" i="1"/>
  <c r="R64" i="1" s="1"/>
  <c r="O72" i="1"/>
  <c r="O64" i="1" s="1"/>
  <c r="L72" i="1"/>
  <c r="L64" i="1" s="1"/>
  <c r="I72" i="1"/>
  <c r="I64" i="1" s="1"/>
  <c r="F72" i="1"/>
  <c r="F64" i="1" s="1"/>
  <c r="AA16" i="1"/>
  <c r="AA8" i="1" s="1"/>
  <c r="X16" i="1"/>
  <c r="X8" i="1" s="1"/>
  <c r="U16" i="1"/>
  <c r="U8" i="1" s="1"/>
  <c r="R16" i="1"/>
  <c r="R8" i="1" s="1"/>
  <c r="O16" i="1"/>
  <c r="O8" i="1" s="1"/>
  <c r="L16" i="1"/>
  <c r="L8" i="1" s="1"/>
  <c r="M16" i="1" s="1"/>
  <c r="I16" i="1"/>
  <c r="I8" i="1" s="1"/>
  <c r="F16" i="1"/>
  <c r="F8" i="1" s="1"/>
  <c r="AD90" i="1" l="1"/>
  <c r="AY117" i="1"/>
  <c r="AA124" i="1"/>
  <c r="AS82" i="1"/>
  <c r="AD119" i="1"/>
  <c r="AJ118" i="1"/>
  <c r="X56" i="1"/>
  <c r="X119" i="1" s="1"/>
  <c r="AV104" i="1"/>
  <c r="AW105" i="1" s="1"/>
  <c r="AY124" i="1"/>
  <c r="AP61" i="1"/>
  <c r="AP124" i="1" s="1"/>
  <c r="AD124" i="1"/>
  <c r="AA90" i="1"/>
  <c r="AA82" i="1" s="1"/>
  <c r="AB85" i="1" s="1"/>
  <c r="BN123" i="1"/>
  <c r="BN115" i="1" s="1"/>
  <c r="BO118" i="1" s="1"/>
  <c r="BH123" i="1"/>
  <c r="BH115" i="1" s="1"/>
  <c r="BI119" i="1" s="1"/>
  <c r="BQ123" i="1"/>
  <c r="BQ115" i="1" s="1"/>
  <c r="BR124" i="1" s="1"/>
  <c r="CF115" i="1"/>
  <c r="CG121" i="1" s="1"/>
  <c r="F123" i="1"/>
  <c r="F115" i="1" s="1"/>
  <c r="G123" i="1" s="1"/>
  <c r="BT123" i="1"/>
  <c r="BT115" i="1" s="1"/>
  <c r="BU121" i="1" s="1"/>
  <c r="CF60" i="1"/>
  <c r="CF52" i="1" s="1"/>
  <c r="BK123" i="1"/>
  <c r="AA119" i="1"/>
  <c r="AS104" i="1"/>
  <c r="AT107" i="1" s="1"/>
  <c r="L123" i="1"/>
  <c r="L115" i="1" s="1"/>
  <c r="M117" i="1" s="1"/>
  <c r="F38" i="1"/>
  <c r="F30" i="1" s="1"/>
  <c r="G31" i="1" s="1"/>
  <c r="AJ124" i="1"/>
  <c r="AP55" i="1"/>
  <c r="AP118" i="1" s="1"/>
  <c r="AD38" i="1"/>
  <c r="AD30" i="1" s="1"/>
  <c r="AE32" i="1" s="1"/>
  <c r="R123" i="1"/>
  <c r="AA117" i="1"/>
  <c r="BE123" i="1"/>
  <c r="O123" i="1"/>
  <c r="AA116" i="1"/>
  <c r="BW52" i="1"/>
  <c r="BX60" i="1" s="1"/>
  <c r="BW123" i="1"/>
  <c r="BI73" i="1"/>
  <c r="BI65" i="1"/>
  <c r="AA38" i="1"/>
  <c r="AA30" i="1" s="1"/>
  <c r="AB33" i="1" s="1"/>
  <c r="R61" i="1"/>
  <c r="R124" i="1" s="1"/>
  <c r="U61" i="1"/>
  <c r="U124" i="1" s="1"/>
  <c r="U90" i="1"/>
  <c r="U82" i="1" s="1"/>
  <c r="V91" i="1" s="1"/>
  <c r="AV54" i="1"/>
  <c r="AV117" i="1" s="1"/>
  <c r="AD82" i="1"/>
  <c r="AE91" i="1" s="1"/>
  <c r="F60" i="1"/>
  <c r="F52" i="1" s="1"/>
  <c r="X55" i="1"/>
  <c r="X118" i="1" s="1"/>
  <c r="AS54" i="1"/>
  <c r="AS117" i="1" s="1"/>
  <c r="I38" i="1"/>
  <c r="I30" i="1" s="1"/>
  <c r="J39" i="1" s="1"/>
  <c r="AS19" i="1"/>
  <c r="AT28" i="1" s="1"/>
  <c r="AV56" i="1"/>
  <c r="AV119" i="1" s="1"/>
  <c r="P27" i="1"/>
  <c r="P21" i="1"/>
  <c r="AE16" i="1"/>
  <c r="AE17" i="1"/>
  <c r="AE11" i="1"/>
  <c r="AE9" i="1"/>
  <c r="AS8" i="1"/>
  <c r="AT11" i="1" s="1"/>
  <c r="AM82" i="1"/>
  <c r="AN83" i="1" s="1"/>
  <c r="AP53" i="1"/>
  <c r="AP116" i="1" s="1"/>
  <c r="BB55" i="1"/>
  <c r="BB118" i="1" s="1"/>
  <c r="I54" i="1"/>
  <c r="AJ53" i="1"/>
  <c r="AJ116" i="1" s="1"/>
  <c r="X90" i="1"/>
  <c r="X82" i="1" s="1"/>
  <c r="Y91" i="1" s="1"/>
  <c r="AY93" i="1"/>
  <c r="AZ94" i="1" s="1"/>
  <c r="AP54" i="1"/>
  <c r="AP117" i="1" s="1"/>
  <c r="BB54" i="1"/>
  <c r="BB117" i="1" s="1"/>
  <c r="BB49" i="1"/>
  <c r="BB41" i="1" s="1"/>
  <c r="BC43" i="1" s="1"/>
  <c r="U49" i="1"/>
  <c r="U41" i="1" s="1"/>
  <c r="V42" i="1" s="1"/>
  <c r="X49" i="1"/>
  <c r="X41" i="1" s="1"/>
  <c r="Y50" i="1" s="1"/>
  <c r="AM53" i="1"/>
  <c r="AM116" i="1" s="1"/>
  <c r="AP56" i="1"/>
  <c r="U38" i="1"/>
  <c r="U30" i="1" s="1"/>
  <c r="V34" i="1" s="1"/>
  <c r="L38" i="1"/>
  <c r="L30" i="1" s="1"/>
  <c r="M39" i="1" s="1"/>
  <c r="O38" i="1"/>
  <c r="O30" i="1" s="1"/>
  <c r="P31" i="1" s="1"/>
  <c r="R38" i="1"/>
  <c r="R30" i="1" s="1"/>
  <c r="S33" i="1" s="1"/>
  <c r="X38" i="1"/>
  <c r="X30" i="1" s="1"/>
  <c r="Y32" i="1" s="1"/>
  <c r="AJ49" i="1"/>
  <c r="AJ41" i="1" s="1"/>
  <c r="AK44" i="1" s="1"/>
  <c r="AV39" i="1"/>
  <c r="AV61" i="1" s="1"/>
  <c r="AV124" i="1" s="1"/>
  <c r="BB56" i="1"/>
  <c r="BB119" i="1" s="1"/>
  <c r="CG86" i="1"/>
  <c r="CG85" i="1"/>
  <c r="CG84" i="1"/>
  <c r="CG91" i="1"/>
  <c r="CG83" i="1"/>
  <c r="CG88" i="1"/>
  <c r="CG87" i="1"/>
  <c r="CG90" i="1"/>
  <c r="CG14" i="1"/>
  <c r="CG13" i="1"/>
  <c r="CG12" i="1"/>
  <c r="CG10" i="1"/>
  <c r="CG17" i="1"/>
  <c r="CG11" i="1"/>
  <c r="CG9" i="1"/>
  <c r="CG110" i="1"/>
  <c r="CG108" i="1"/>
  <c r="CG107" i="1"/>
  <c r="CG109" i="1"/>
  <c r="CG106" i="1"/>
  <c r="CG113" i="1"/>
  <c r="CG105" i="1"/>
  <c r="CG23" i="1"/>
  <c r="CG22" i="1"/>
  <c r="CG21" i="1"/>
  <c r="CG28" i="1"/>
  <c r="CG20" i="1"/>
  <c r="CG24" i="1"/>
  <c r="CG25" i="1"/>
  <c r="CF30" i="1"/>
  <c r="CG38" i="1" s="1"/>
  <c r="CG50" i="1"/>
  <c r="CG42" i="1"/>
  <c r="CG46" i="1"/>
  <c r="CG45" i="1"/>
  <c r="CG47" i="1"/>
  <c r="CG44" i="1"/>
  <c r="CG43" i="1"/>
  <c r="CG70" i="1"/>
  <c r="CG69" i="1"/>
  <c r="CG68" i="1"/>
  <c r="CG66" i="1"/>
  <c r="CG73" i="1"/>
  <c r="CG67" i="1"/>
  <c r="CG65" i="1"/>
  <c r="CG112" i="1"/>
  <c r="M72" i="1"/>
  <c r="M66" i="1"/>
  <c r="M73" i="1"/>
  <c r="M68" i="1"/>
  <c r="M67" i="1"/>
  <c r="AZ17" i="1"/>
  <c r="AZ9" i="1"/>
  <c r="AZ11" i="1"/>
  <c r="BC17" i="1"/>
  <c r="BC11" i="1"/>
  <c r="AZ16" i="1"/>
  <c r="P28" i="1"/>
  <c r="M17" i="1"/>
  <c r="AJ64" i="1"/>
  <c r="AK67" i="1" s="1"/>
  <c r="R41" i="1"/>
  <c r="S49" i="1" s="1"/>
  <c r="P23" i="1"/>
  <c r="M9" i="1"/>
  <c r="AG54" i="1"/>
  <c r="AG117" i="1" s="1"/>
  <c r="AV82" i="1"/>
  <c r="AW85" i="1" s="1"/>
  <c r="BI94" i="1"/>
  <c r="BK38" i="1"/>
  <c r="BK30" i="1" s="1"/>
  <c r="BL34" i="1" s="1"/>
  <c r="AG56" i="1"/>
  <c r="AG119" i="1" s="1"/>
  <c r="AG90" i="1"/>
  <c r="AG82" i="1" s="1"/>
  <c r="AH90" i="1" s="1"/>
  <c r="P22" i="1"/>
  <c r="AM55" i="1"/>
  <c r="AM118" i="1" s="1"/>
  <c r="BI96" i="1"/>
  <c r="AG61" i="1"/>
  <c r="AG124" i="1" s="1"/>
  <c r="P20" i="1"/>
  <c r="AD53" i="1"/>
  <c r="AM61" i="1"/>
  <c r="AM124" i="1" s="1"/>
  <c r="AY53" i="1"/>
  <c r="BR16" i="1"/>
  <c r="BR27" i="1"/>
  <c r="BR49" i="1"/>
  <c r="BR72" i="1"/>
  <c r="BR90" i="1"/>
  <c r="BR101" i="1"/>
  <c r="BR112" i="1"/>
  <c r="BQ60" i="1"/>
  <c r="BR9" i="1"/>
  <c r="BR10" i="1"/>
  <c r="BR11" i="1"/>
  <c r="BR12" i="1"/>
  <c r="BR13" i="1"/>
  <c r="BR14" i="1"/>
  <c r="BR20" i="1"/>
  <c r="BR21" i="1"/>
  <c r="BR22" i="1"/>
  <c r="BR23" i="1"/>
  <c r="BR24" i="1"/>
  <c r="BR25" i="1"/>
  <c r="BQ38" i="1"/>
  <c r="BR42" i="1"/>
  <c r="BR43" i="1"/>
  <c r="BR44" i="1"/>
  <c r="BR45" i="1"/>
  <c r="BR46" i="1"/>
  <c r="BR47" i="1"/>
  <c r="BR65" i="1"/>
  <c r="BR66" i="1"/>
  <c r="BR67" i="1"/>
  <c r="BR68" i="1"/>
  <c r="BR69" i="1"/>
  <c r="BR70" i="1"/>
  <c r="BR83" i="1"/>
  <c r="BR84" i="1"/>
  <c r="BR85" i="1"/>
  <c r="BR86" i="1"/>
  <c r="BR87" i="1"/>
  <c r="BR88" i="1"/>
  <c r="BR94" i="1"/>
  <c r="BR95" i="1"/>
  <c r="BR96" i="1"/>
  <c r="BR97" i="1"/>
  <c r="BR98" i="1"/>
  <c r="BR99" i="1"/>
  <c r="BR105" i="1"/>
  <c r="BR106" i="1"/>
  <c r="BR107" i="1"/>
  <c r="BR108" i="1"/>
  <c r="BR109" i="1"/>
  <c r="BR110" i="1"/>
  <c r="AV49" i="1"/>
  <c r="AV41" i="1" s="1"/>
  <c r="AW49" i="1" s="1"/>
  <c r="BC16" i="1"/>
  <c r="BT41" i="1"/>
  <c r="BU50" i="1" s="1"/>
  <c r="BT60" i="1"/>
  <c r="BT38" i="1"/>
  <c r="BT8" i="1"/>
  <c r="BT19" i="1"/>
  <c r="BU27" i="1" s="1"/>
  <c r="BT64" i="1"/>
  <c r="BT82" i="1"/>
  <c r="BU90" i="1" s="1"/>
  <c r="BT93" i="1"/>
  <c r="BT104" i="1"/>
  <c r="G33" i="1"/>
  <c r="AB27" i="1"/>
  <c r="AB23" i="1"/>
  <c r="AB28" i="1"/>
  <c r="AB22" i="1"/>
  <c r="AB20" i="1"/>
  <c r="AB21" i="1"/>
  <c r="V113" i="1"/>
  <c r="V112" i="1"/>
  <c r="V107" i="1"/>
  <c r="V105" i="1"/>
  <c r="Y16" i="1"/>
  <c r="Y17" i="1"/>
  <c r="Y9" i="1"/>
  <c r="Y11" i="1"/>
  <c r="AH28" i="1"/>
  <c r="AH22" i="1"/>
  <c r="AH113" i="1"/>
  <c r="AH112" i="1"/>
  <c r="AH105" i="1"/>
  <c r="AH107" i="1"/>
  <c r="AT90" i="1"/>
  <c r="AT85" i="1"/>
  <c r="AE10" i="1"/>
  <c r="AE12" i="1"/>
  <c r="M11" i="1"/>
  <c r="J105" i="1"/>
  <c r="J107" i="1"/>
  <c r="J112" i="1"/>
  <c r="X104" i="1"/>
  <c r="Y108" i="1" s="1"/>
  <c r="G44" i="1"/>
  <c r="AE44" i="1"/>
  <c r="U55" i="1"/>
  <c r="U118" i="1" s="1"/>
  <c r="X53" i="1"/>
  <c r="X116" i="1" s="1"/>
  <c r="X61" i="1"/>
  <c r="X124" i="1" s="1"/>
  <c r="AG38" i="1"/>
  <c r="AG30" i="1" s="1"/>
  <c r="AH39" i="1" s="1"/>
  <c r="AG55" i="1"/>
  <c r="AG118" i="1" s="1"/>
  <c r="AG53" i="1"/>
  <c r="AG116" i="1" s="1"/>
  <c r="AH67" i="1"/>
  <c r="AG49" i="1"/>
  <c r="AG41" i="1" s="1"/>
  <c r="AJ104" i="1"/>
  <c r="AK107" i="1" s="1"/>
  <c r="V94" i="1"/>
  <c r="AN11" i="1"/>
  <c r="AQ85" i="1"/>
  <c r="AQ107" i="1"/>
  <c r="AS39" i="1"/>
  <c r="AS61" i="1" s="1"/>
  <c r="AS124" i="1" s="1"/>
  <c r="AY38" i="1"/>
  <c r="AY30" i="1" s="1"/>
  <c r="AZ34" i="1" s="1"/>
  <c r="AP38" i="1"/>
  <c r="AP30" i="1" s="1"/>
  <c r="AQ38" i="1" s="1"/>
  <c r="BC9" i="1"/>
  <c r="BF11" i="1"/>
  <c r="BF67" i="1"/>
  <c r="BF96" i="1"/>
  <c r="BI11" i="1"/>
  <c r="BH38" i="1"/>
  <c r="BH30" i="1" s="1"/>
  <c r="BI31" i="1" s="1"/>
  <c r="BI67" i="1"/>
  <c r="BI101" i="1"/>
  <c r="AJ90" i="1"/>
  <c r="AJ82" i="1" s="1"/>
  <c r="AK85" i="1" s="1"/>
  <c r="BF101" i="1"/>
  <c r="G16" i="1"/>
  <c r="G11" i="1"/>
  <c r="G17" i="1"/>
  <c r="G9" i="1"/>
  <c r="M32" i="1"/>
  <c r="G72" i="1"/>
  <c r="G73" i="1"/>
  <c r="G67" i="1"/>
  <c r="G65" i="1"/>
  <c r="J27" i="1"/>
  <c r="J21" i="1"/>
  <c r="J28" i="1"/>
  <c r="J22" i="1"/>
  <c r="J20" i="1"/>
  <c r="J23" i="1"/>
  <c r="P91" i="1"/>
  <c r="P90" i="1"/>
  <c r="P85" i="1"/>
  <c r="P83" i="1"/>
  <c r="AE113" i="1"/>
  <c r="AE108" i="1"/>
  <c r="AE106" i="1"/>
  <c r="S16" i="1"/>
  <c r="S9" i="1"/>
  <c r="S11" i="1"/>
  <c r="S17" i="1"/>
  <c r="S10" i="1"/>
  <c r="S12" i="1"/>
  <c r="S72" i="1"/>
  <c r="S73" i="1"/>
  <c r="S68" i="1"/>
  <c r="S67" i="1"/>
  <c r="S66" i="1"/>
  <c r="S65" i="1"/>
  <c r="V27" i="1"/>
  <c r="V21" i="1"/>
  <c r="V28" i="1"/>
  <c r="V22" i="1"/>
  <c r="V20" i="1"/>
  <c r="V23" i="1"/>
  <c r="P113" i="1"/>
  <c r="P107" i="1"/>
  <c r="P105" i="1"/>
  <c r="M50" i="1"/>
  <c r="M49" i="1"/>
  <c r="M42" i="1"/>
  <c r="M44" i="1"/>
  <c r="AH17" i="1"/>
  <c r="AH16" i="1"/>
  <c r="AH9" i="1"/>
  <c r="AH11" i="1"/>
  <c r="AK17" i="1"/>
  <c r="AK16" i="1"/>
  <c r="AK9" i="1"/>
  <c r="AK11" i="1"/>
  <c r="AB102" i="1"/>
  <c r="AB94" i="1"/>
  <c r="AN73" i="1"/>
  <c r="AN72" i="1"/>
  <c r="AN65" i="1"/>
  <c r="AN67" i="1"/>
  <c r="AN102" i="1"/>
  <c r="AN101" i="1"/>
  <c r="AN94" i="1"/>
  <c r="AN96" i="1"/>
  <c r="BF50" i="1"/>
  <c r="BF49" i="1"/>
  <c r="BF42" i="1"/>
  <c r="BF44" i="1"/>
  <c r="BE60" i="1"/>
  <c r="BE52" i="1" s="1"/>
  <c r="AQ73" i="1"/>
  <c r="AQ72" i="1"/>
  <c r="AQ65" i="1"/>
  <c r="AQ67" i="1"/>
  <c r="AQ102" i="1"/>
  <c r="AQ101" i="1"/>
  <c r="AQ94" i="1"/>
  <c r="AQ96" i="1"/>
  <c r="AZ73" i="1"/>
  <c r="AZ72" i="1"/>
  <c r="AZ65" i="1"/>
  <c r="AZ67" i="1"/>
  <c r="BF28" i="1"/>
  <c r="BF27" i="1"/>
  <c r="BF20" i="1"/>
  <c r="BF22" i="1"/>
  <c r="BF91" i="1"/>
  <c r="BF90" i="1"/>
  <c r="BF83" i="1"/>
  <c r="BF85" i="1"/>
  <c r="BI28" i="1"/>
  <c r="BI27" i="1"/>
  <c r="BI20" i="1"/>
  <c r="BI22" i="1"/>
  <c r="BI50" i="1"/>
  <c r="BI49" i="1"/>
  <c r="BI42" i="1"/>
  <c r="BI44" i="1"/>
  <c r="BI91" i="1"/>
  <c r="BI90" i="1"/>
  <c r="BI83" i="1"/>
  <c r="BI85" i="1"/>
  <c r="BI113" i="1"/>
  <c r="BI112" i="1"/>
  <c r="BI105" i="1"/>
  <c r="BI107" i="1"/>
  <c r="BH60" i="1"/>
  <c r="BH52" i="1" s="1"/>
  <c r="M65" i="1"/>
  <c r="Y10" i="1"/>
  <c r="Y12" i="1"/>
  <c r="M12" i="1"/>
  <c r="M10" i="1"/>
  <c r="U64" i="1"/>
  <c r="V72" i="1" s="1"/>
  <c r="X64" i="1"/>
  <c r="Y67" i="1" s="1"/>
  <c r="J83" i="1"/>
  <c r="J85" i="1"/>
  <c r="J90" i="1"/>
  <c r="P112" i="1"/>
  <c r="G42" i="1"/>
  <c r="AE42" i="1"/>
  <c r="G49" i="1"/>
  <c r="AE49" i="1"/>
  <c r="U56" i="1"/>
  <c r="U119" i="1" s="1"/>
  <c r="U53" i="1"/>
  <c r="U116" i="1" s="1"/>
  <c r="X54" i="1"/>
  <c r="X117" i="1" s="1"/>
  <c r="AH20" i="1"/>
  <c r="AH27" i="1"/>
  <c r="AH65" i="1"/>
  <c r="AH72" i="1"/>
  <c r="AJ38" i="1"/>
  <c r="AJ30" i="1" s="1"/>
  <c r="AK39" i="1" s="1"/>
  <c r="AJ56" i="1"/>
  <c r="AJ119" i="1" s="1"/>
  <c r="AJ54" i="1"/>
  <c r="AJ117" i="1" s="1"/>
  <c r="AN9" i="1"/>
  <c r="AN16" i="1"/>
  <c r="AQ83" i="1"/>
  <c r="AQ90" i="1"/>
  <c r="AQ105" i="1"/>
  <c r="AQ112" i="1"/>
  <c r="AT83" i="1"/>
  <c r="AM38" i="1"/>
  <c r="BB38" i="1"/>
  <c r="BB30" i="1" s="1"/>
  <c r="BC39" i="1" s="1"/>
  <c r="BB61" i="1"/>
  <c r="BB124" i="1" s="1"/>
  <c r="BF9" i="1"/>
  <c r="BF16" i="1"/>
  <c r="BE38" i="1"/>
  <c r="BF65" i="1"/>
  <c r="BF72" i="1"/>
  <c r="BF94" i="1"/>
  <c r="BI9" i="1"/>
  <c r="BI16" i="1"/>
  <c r="BI72" i="1"/>
  <c r="L60" i="1"/>
  <c r="L52" i="1" s="1"/>
  <c r="M60" i="1" s="1"/>
  <c r="O60" i="1"/>
  <c r="O52" i="1" s="1"/>
  <c r="P60" i="1" s="1"/>
  <c r="R60" i="1"/>
  <c r="AA60" i="1"/>
  <c r="AA52" i="1" s="1"/>
  <c r="AB60" i="1" s="1"/>
  <c r="AS38" i="1"/>
  <c r="BO49" i="1"/>
  <c r="BO42" i="1"/>
  <c r="BN19" i="1"/>
  <c r="BO25" i="1" s="1"/>
  <c r="BN60" i="1"/>
  <c r="BO9" i="1"/>
  <c r="BO11" i="1"/>
  <c r="BO13" i="1"/>
  <c r="BO17" i="1"/>
  <c r="BN38" i="1"/>
  <c r="BO43" i="1"/>
  <c r="BO45" i="1"/>
  <c r="BO47" i="1"/>
  <c r="BO10" i="1"/>
  <c r="BO12" i="1"/>
  <c r="BO14" i="1"/>
  <c r="BO44" i="1"/>
  <c r="BO46" i="1"/>
  <c r="BN64" i="1"/>
  <c r="BO72" i="1" s="1"/>
  <c r="BN82" i="1"/>
  <c r="BN93" i="1"/>
  <c r="BN104" i="1"/>
  <c r="J17" i="1"/>
  <c r="J11" i="1"/>
  <c r="J9" i="1"/>
  <c r="J16" i="1"/>
  <c r="J12" i="1"/>
  <c r="J10" i="1"/>
  <c r="V9" i="1"/>
  <c r="V11" i="1"/>
  <c r="V17" i="1"/>
  <c r="V16" i="1"/>
  <c r="V10" i="1"/>
  <c r="V12" i="1"/>
  <c r="J73" i="1"/>
  <c r="J67" i="1"/>
  <c r="J65" i="1"/>
  <c r="J72" i="1"/>
  <c r="J68" i="1"/>
  <c r="J66" i="1"/>
  <c r="AB65" i="1"/>
  <c r="AB66" i="1"/>
  <c r="AB68" i="1"/>
  <c r="AB67" i="1"/>
  <c r="AB73" i="1"/>
  <c r="AB72" i="1"/>
  <c r="M20" i="1"/>
  <c r="M22" i="1"/>
  <c r="M28" i="1"/>
  <c r="M27" i="1"/>
  <c r="M21" i="1"/>
  <c r="M23" i="1"/>
  <c r="Y28" i="1"/>
  <c r="Y22" i="1"/>
  <c r="Y20" i="1"/>
  <c r="Y23" i="1"/>
  <c r="Y27" i="1"/>
  <c r="Y21" i="1"/>
  <c r="G85" i="1"/>
  <c r="G83" i="1"/>
  <c r="G91" i="1"/>
  <c r="G86" i="1"/>
  <c r="G84" i="1"/>
  <c r="S85" i="1"/>
  <c r="S83" i="1"/>
  <c r="S91" i="1"/>
  <c r="S86" i="1"/>
  <c r="S84" i="1"/>
  <c r="G107" i="1"/>
  <c r="G105" i="1"/>
  <c r="G113" i="1"/>
  <c r="G108" i="1"/>
  <c r="G106" i="1"/>
  <c r="S107" i="1"/>
  <c r="S105" i="1"/>
  <c r="S113" i="1"/>
  <c r="S108" i="1"/>
  <c r="S106" i="1"/>
  <c r="P44" i="1"/>
  <c r="P42" i="1"/>
  <c r="P50" i="1"/>
  <c r="P45" i="1"/>
  <c r="P43" i="1"/>
  <c r="AB44" i="1"/>
  <c r="AB42" i="1"/>
  <c r="AB50" i="1"/>
  <c r="AB45" i="1"/>
  <c r="AB43" i="1"/>
  <c r="AE94" i="1"/>
  <c r="AE102" i="1"/>
  <c r="AE101" i="1"/>
  <c r="AE97" i="1"/>
  <c r="AE96" i="1"/>
  <c r="AE95" i="1"/>
  <c r="AN22" i="1"/>
  <c r="AN20" i="1"/>
  <c r="AN28" i="1"/>
  <c r="AN23" i="1"/>
  <c r="AN21" i="1"/>
  <c r="AQ11" i="1"/>
  <c r="AQ9" i="1"/>
  <c r="AQ17" i="1"/>
  <c r="AQ12" i="1"/>
  <c r="AQ10" i="1"/>
  <c r="P17" i="1"/>
  <c r="P11" i="1"/>
  <c r="P9" i="1"/>
  <c r="P16" i="1"/>
  <c r="P12" i="1"/>
  <c r="P10" i="1"/>
  <c r="AB9" i="1"/>
  <c r="AB11" i="1"/>
  <c r="AB17" i="1"/>
  <c r="AB16" i="1"/>
  <c r="AB10" i="1"/>
  <c r="AB12" i="1"/>
  <c r="P65" i="1"/>
  <c r="P68" i="1"/>
  <c r="P66" i="1"/>
  <c r="P67" i="1"/>
  <c r="P72" i="1"/>
  <c r="P73" i="1"/>
  <c r="G28" i="1"/>
  <c r="G22" i="1"/>
  <c r="G20" i="1"/>
  <c r="G27" i="1"/>
  <c r="G23" i="1"/>
  <c r="G21" i="1"/>
  <c r="S21" i="1"/>
  <c r="S23" i="1"/>
  <c r="S27" i="1"/>
  <c r="S20" i="1"/>
  <c r="S22" i="1"/>
  <c r="S28" i="1"/>
  <c r="AE28" i="1"/>
  <c r="AE22" i="1"/>
  <c r="AE20" i="1"/>
  <c r="AE27" i="1"/>
  <c r="AE23" i="1"/>
  <c r="AE21" i="1"/>
  <c r="M85" i="1"/>
  <c r="M83" i="1"/>
  <c r="M91" i="1"/>
  <c r="M86" i="1"/>
  <c r="M84" i="1"/>
  <c r="M107" i="1"/>
  <c r="M105" i="1"/>
  <c r="M113" i="1"/>
  <c r="M108" i="1"/>
  <c r="M106" i="1"/>
  <c r="AB108" i="1"/>
  <c r="AB106" i="1"/>
  <c r="AB113" i="1"/>
  <c r="AB112" i="1"/>
  <c r="AB107" i="1"/>
  <c r="AB105" i="1"/>
  <c r="J44" i="1"/>
  <c r="J42" i="1"/>
  <c r="J50" i="1"/>
  <c r="J45" i="1"/>
  <c r="J43" i="1"/>
  <c r="AE72" i="1"/>
  <c r="AE66" i="1"/>
  <c r="AE68" i="1"/>
  <c r="AE65" i="1"/>
  <c r="AE73" i="1"/>
  <c r="AE67" i="1"/>
  <c r="AK22" i="1"/>
  <c r="AK20" i="1"/>
  <c r="AK28" i="1"/>
  <c r="AK23" i="1"/>
  <c r="AK21" i="1"/>
  <c r="Y94" i="1"/>
  <c r="Y102" i="1"/>
  <c r="Y101" i="1"/>
  <c r="Y97" i="1"/>
  <c r="Y96" i="1"/>
  <c r="Y95" i="1"/>
  <c r="AK102" i="1"/>
  <c r="AK101" i="1"/>
  <c r="AK97" i="1"/>
  <c r="AK96" i="1"/>
  <c r="AK95" i="1"/>
  <c r="AK94" i="1"/>
  <c r="AN107" i="1"/>
  <c r="AN105" i="1"/>
  <c r="AN113" i="1"/>
  <c r="AN108" i="1"/>
  <c r="AN106" i="1"/>
  <c r="AQ22" i="1"/>
  <c r="AQ20" i="1"/>
  <c r="AQ28" i="1"/>
  <c r="AQ23" i="1"/>
  <c r="AQ21" i="1"/>
  <c r="AT73" i="1"/>
  <c r="AT68" i="1"/>
  <c r="AT66" i="1"/>
  <c r="AT102" i="1"/>
  <c r="AT97" i="1"/>
  <c r="AT95" i="1"/>
  <c r="AV64" i="1"/>
  <c r="AW72" i="1" s="1"/>
  <c r="AW96" i="1"/>
  <c r="AW94" i="1"/>
  <c r="AW102" i="1"/>
  <c r="AW97" i="1"/>
  <c r="AW95" i="1"/>
  <c r="BC85" i="1"/>
  <c r="BC83" i="1"/>
  <c r="BC91" i="1"/>
  <c r="BC86" i="1"/>
  <c r="BC84" i="1"/>
  <c r="BC107" i="1"/>
  <c r="BC105" i="1"/>
  <c r="BC113" i="1"/>
  <c r="BC108" i="1"/>
  <c r="BC106" i="1"/>
  <c r="BF107" i="1"/>
  <c r="BF105" i="1"/>
  <c r="BF113" i="1"/>
  <c r="BF108" i="1"/>
  <c r="BF106" i="1"/>
  <c r="BL24" i="1"/>
  <c r="BL28" i="1"/>
  <c r="BL23" i="1"/>
  <c r="BL21" i="1"/>
  <c r="BL25" i="1"/>
  <c r="BL27" i="1"/>
  <c r="BL22" i="1"/>
  <c r="BL20" i="1"/>
  <c r="BL46" i="1"/>
  <c r="BL50" i="1"/>
  <c r="BL45" i="1"/>
  <c r="BL43" i="1"/>
  <c r="BL47" i="1"/>
  <c r="BL49" i="1"/>
  <c r="BL44" i="1"/>
  <c r="BL42" i="1"/>
  <c r="BL87" i="1"/>
  <c r="BL91" i="1"/>
  <c r="BL86" i="1"/>
  <c r="BL84" i="1"/>
  <c r="BL88" i="1"/>
  <c r="BL90" i="1"/>
  <c r="BL85" i="1"/>
  <c r="BL83" i="1"/>
  <c r="BL109" i="1"/>
  <c r="BL113" i="1"/>
  <c r="BL108" i="1"/>
  <c r="BL106" i="1"/>
  <c r="BL110" i="1"/>
  <c r="BL112" i="1"/>
  <c r="BL107" i="1"/>
  <c r="BL105" i="1"/>
  <c r="AT91" i="1"/>
  <c r="AT86" i="1"/>
  <c r="AT84" i="1"/>
  <c r="AS53" i="1"/>
  <c r="AS116" i="1" s="1"/>
  <c r="AS49" i="1"/>
  <c r="AV8" i="1"/>
  <c r="AW16" i="1" s="1"/>
  <c r="AV19" i="1"/>
  <c r="AW27" i="1" s="1"/>
  <c r="AV55" i="1"/>
  <c r="AV118" i="1" s="1"/>
  <c r="AV53" i="1"/>
  <c r="AV116" i="1" s="1"/>
  <c r="AZ22" i="1"/>
  <c r="AZ20" i="1"/>
  <c r="AZ28" i="1"/>
  <c r="AZ23" i="1"/>
  <c r="AZ21" i="1"/>
  <c r="AZ107" i="1"/>
  <c r="AZ105" i="1"/>
  <c r="AZ113" i="1"/>
  <c r="AZ108" i="1"/>
  <c r="AZ106" i="1"/>
  <c r="AZ44" i="1"/>
  <c r="AZ42" i="1"/>
  <c r="AZ50" i="1"/>
  <c r="AZ45" i="1"/>
  <c r="AZ43" i="1"/>
  <c r="AY82" i="1"/>
  <c r="AZ90" i="1" s="1"/>
  <c r="BC22" i="1"/>
  <c r="BC20" i="1"/>
  <c r="BC28" i="1"/>
  <c r="BC23" i="1"/>
  <c r="BC21" i="1"/>
  <c r="BC67" i="1"/>
  <c r="BC65" i="1"/>
  <c r="BC73" i="1"/>
  <c r="BC68" i="1"/>
  <c r="BC66" i="1"/>
  <c r="BC96" i="1"/>
  <c r="BC94" i="1"/>
  <c r="BC102" i="1"/>
  <c r="BC97" i="1"/>
  <c r="BC95" i="1"/>
  <c r="BL13" i="1"/>
  <c r="BL17" i="1"/>
  <c r="BL12" i="1"/>
  <c r="BL10" i="1"/>
  <c r="BL14" i="1"/>
  <c r="BL16" i="1"/>
  <c r="BL11" i="1"/>
  <c r="BL9" i="1"/>
  <c r="BK60" i="1"/>
  <c r="BL69" i="1"/>
  <c r="BL73" i="1"/>
  <c r="BL68" i="1"/>
  <c r="BL66" i="1"/>
  <c r="BL70" i="1"/>
  <c r="BL72" i="1"/>
  <c r="BL67" i="1"/>
  <c r="BL65" i="1"/>
  <c r="BL98" i="1"/>
  <c r="BL102" i="1"/>
  <c r="BL97" i="1"/>
  <c r="BL95" i="1"/>
  <c r="BL99" i="1"/>
  <c r="BL101" i="1"/>
  <c r="BL96" i="1"/>
  <c r="BL94" i="1"/>
  <c r="G10" i="1"/>
  <c r="G12" i="1"/>
  <c r="G66" i="1"/>
  <c r="G68" i="1"/>
  <c r="J84" i="1"/>
  <c r="P84" i="1"/>
  <c r="J86" i="1"/>
  <c r="P86" i="1"/>
  <c r="G90" i="1"/>
  <c r="M90" i="1"/>
  <c r="S90" i="1"/>
  <c r="AE105" i="1"/>
  <c r="J106" i="1"/>
  <c r="P106" i="1"/>
  <c r="V106" i="1"/>
  <c r="AE107" i="1"/>
  <c r="J108" i="1"/>
  <c r="P108" i="1"/>
  <c r="V108" i="1"/>
  <c r="G112" i="1"/>
  <c r="M112" i="1"/>
  <c r="S112" i="1"/>
  <c r="AE112" i="1"/>
  <c r="G43" i="1"/>
  <c r="M43" i="1"/>
  <c r="AE43" i="1"/>
  <c r="G45" i="1"/>
  <c r="M45" i="1"/>
  <c r="AE45" i="1"/>
  <c r="J49" i="1"/>
  <c r="P49" i="1"/>
  <c r="AB49" i="1"/>
  <c r="AH10" i="1"/>
  <c r="AH12" i="1"/>
  <c r="AH21" i="1"/>
  <c r="AH23" i="1"/>
  <c r="AH66" i="1"/>
  <c r="AH68" i="1"/>
  <c r="AH106" i="1"/>
  <c r="AH108" i="1"/>
  <c r="AK10" i="1"/>
  <c r="AK12" i="1"/>
  <c r="AK27" i="1"/>
  <c r="V95" i="1"/>
  <c r="AB95" i="1"/>
  <c r="AH95" i="1"/>
  <c r="V96" i="1"/>
  <c r="AB96" i="1"/>
  <c r="AH96" i="1"/>
  <c r="V97" i="1"/>
  <c r="AB97" i="1"/>
  <c r="AH97" i="1"/>
  <c r="V101" i="1"/>
  <c r="AB101" i="1"/>
  <c r="AH101" i="1"/>
  <c r="AH102" i="1"/>
  <c r="AN10" i="1"/>
  <c r="AN12" i="1"/>
  <c r="AN27" i="1"/>
  <c r="AM49" i="1"/>
  <c r="AN66" i="1"/>
  <c r="AN68" i="1"/>
  <c r="AN95" i="1"/>
  <c r="AN97" i="1"/>
  <c r="AN112" i="1"/>
  <c r="AQ16" i="1"/>
  <c r="AQ27" i="1"/>
  <c r="AP49" i="1"/>
  <c r="AQ66" i="1"/>
  <c r="AQ68" i="1"/>
  <c r="AQ84" i="1"/>
  <c r="AQ86" i="1"/>
  <c r="AQ95" i="1"/>
  <c r="AQ97" i="1"/>
  <c r="AQ106" i="1"/>
  <c r="AQ108" i="1"/>
  <c r="AT65" i="1"/>
  <c r="AT72" i="1"/>
  <c r="AT94" i="1"/>
  <c r="AT101" i="1"/>
  <c r="AV38" i="1"/>
  <c r="AW101" i="1"/>
  <c r="AZ10" i="1"/>
  <c r="AZ12" i="1"/>
  <c r="AZ27" i="1"/>
  <c r="AZ49" i="1"/>
  <c r="AZ66" i="1"/>
  <c r="AZ68" i="1"/>
  <c r="AZ112" i="1"/>
  <c r="BC10" i="1"/>
  <c r="BC12" i="1"/>
  <c r="BC27" i="1"/>
  <c r="BC72" i="1"/>
  <c r="BC90" i="1"/>
  <c r="BC101" i="1"/>
  <c r="BC112" i="1"/>
  <c r="BF10" i="1"/>
  <c r="BF12" i="1"/>
  <c r="BF21" i="1"/>
  <c r="BF23" i="1"/>
  <c r="BF43" i="1"/>
  <c r="BF45" i="1"/>
  <c r="BF66" i="1"/>
  <c r="BF68" i="1"/>
  <c r="BF84" i="1"/>
  <c r="BF86" i="1"/>
  <c r="BF95" i="1"/>
  <c r="BF97" i="1"/>
  <c r="BF112" i="1"/>
  <c r="BI10" i="1"/>
  <c r="BI12" i="1"/>
  <c r="BI21" i="1"/>
  <c r="BI23" i="1"/>
  <c r="BI43" i="1"/>
  <c r="BI45" i="1"/>
  <c r="BI66" i="1"/>
  <c r="BI68" i="1"/>
  <c r="BI84" i="1"/>
  <c r="BI86" i="1"/>
  <c r="BI95" i="1"/>
  <c r="BI97" i="1"/>
  <c r="BI106" i="1"/>
  <c r="BI108" i="1"/>
  <c r="M33" i="1" l="1"/>
  <c r="AW107" i="1"/>
  <c r="AW113" i="1"/>
  <c r="AW106" i="1"/>
  <c r="M34" i="1"/>
  <c r="AT27" i="1"/>
  <c r="G34" i="1"/>
  <c r="AT10" i="1"/>
  <c r="M31" i="1"/>
  <c r="M38" i="1"/>
  <c r="AT9" i="1"/>
  <c r="AT23" i="1"/>
  <c r="AT17" i="1"/>
  <c r="AT12" i="1"/>
  <c r="V31" i="1"/>
  <c r="AZ96" i="1"/>
  <c r="AW112" i="1"/>
  <c r="AW108" i="1"/>
  <c r="G116" i="1"/>
  <c r="Y105" i="1"/>
  <c r="AB31" i="1"/>
  <c r="AH34" i="1"/>
  <c r="Y45" i="1"/>
  <c r="Y49" i="1"/>
  <c r="CG119" i="1"/>
  <c r="V68" i="1"/>
  <c r="BC45" i="1"/>
  <c r="BC50" i="1"/>
  <c r="Y65" i="1"/>
  <c r="AE83" i="1"/>
  <c r="V84" i="1"/>
  <c r="AN86" i="1"/>
  <c r="CG123" i="1"/>
  <c r="BC42" i="1"/>
  <c r="S38" i="1"/>
  <c r="BC44" i="1"/>
  <c r="S45" i="1"/>
  <c r="BC49" i="1"/>
  <c r="V43" i="1"/>
  <c r="AE84" i="1"/>
  <c r="S34" i="1"/>
  <c r="AE90" i="1"/>
  <c r="AE86" i="1"/>
  <c r="S32" i="1"/>
  <c r="S39" i="1"/>
  <c r="AE85" i="1"/>
  <c r="S31" i="1"/>
  <c r="BI32" i="1"/>
  <c r="AB84" i="1"/>
  <c r="Y113" i="1"/>
  <c r="V90" i="1"/>
  <c r="AB91" i="1"/>
  <c r="V85" i="1"/>
  <c r="BL39" i="1"/>
  <c r="BL35" i="1"/>
  <c r="AB86" i="1"/>
  <c r="V83" i="1"/>
  <c r="V86" i="1"/>
  <c r="AB83" i="1"/>
  <c r="BL32" i="1"/>
  <c r="Y106" i="1"/>
  <c r="AB90" i="1"/>
  <c r="Y86" i="1"/>
  <c r="AB34" i="1"/>
  <c r="AT113" i="1"/>
  <c r="AT106" i="1"/>
  <c r="AB39" i="1"/>
  <c r="AT112" i="1"/>
  <c r="CG117" i="1"/>
  <c r="BR121" i="1"/>
  <c r="AT108" i="1"/>
  <c r="AE31" i="1"/>
  <c r="CG116" i="1"/>
  <c r="AE39" i="1"/>
  <c r="AT105" i="1"/>
  <c r="AE34" i="1"/>
  <c r="AE33" i="1"/>
  <c r="BI117" i="1"/>
  <c r="AE38" i="1"/>
  <c r="BR120" i="1"/>
  <c r="G54" i="1"/>
  <c r="G56" i="1"/>
  <c r="G32" i="1"/>
  <c r="V44" i="1"/>
  <c r="AK84" i="1"/>
  <c r="G38" i="1"/>
  <c r="AK91" i="1"/>
  <c r="BB123" i="1"/>
  <c r="BB115" i="1" s="1"/>
  <c r="BU118" i="1"/>
  <c r="V49" i="1"/>
  <c r="BU119" i="1"/>
  <c r="BU117" i="1"/>
  <c r="G39" i="1"/>
  <c r="G124" i="1"/>
  <c r="Y34" i="1"/>
  <c r="G117" i="1"/>
  <c r="BO123" i="1"/>
  <c r="G118" i="1"/>
  <c r="BO119" i="1"/>
  <c r="BI123" i="1"/>
  <c r="CG124" i="1"/>
  <c r="BU120" i="1"/>
  <c r="BI124" i="1"/>
  <c r="BU124" i="1"/>
  <c r="BU123" i="1"/>
  <c r="BI116" i="1"/>
  <c r="CG120" i="1"/>
  <c r="BO117" i="1"/>
  <c r="BI118" i="1"/>
  <c r="BU116" i="1"/>
  <c r="M116" i="1"/>
  <c r="CG118" i="1"/>
  <c r="BR123" i="1"/>
  <c r="BR116" i="1"/>
  <c r="BR118" i="1"/>
  <c r="BR119" i="1"/>
  <c r="BR117" i="1"/>
  <c r="G119" i="1"/>
  <c r="AT20" i="1"/>
  <c r="AM123" i="1"/>
  <c r="AK113" i="1"/>
  <c r="I60" i="1"/>
  <c r="I52" i="1" s="1"/>
  <c r="J60" i="1" s="1"/>
  <c r="I117" i="1"/>
  <c r="AV123" i="1"/>
  <c r="AK66" i="1"/>
  <c r="BO20" i="1"/>
  <c r="AD60" i="1"/>
  <c r="AD52" i="1" s="1"/>
  <c r="AE60" i="1" s="1"/>
  <c r="AD116" i="1"/>
  <c r="BE115" i="1"/>
  <c r="BF123" i="1" s="1"/>
  <c r="U123" i="1"/>
  <c r="AS123" i="1"/>
  <c r="AJ123" i="1"/>
  <c r="M123" i="1"/>
  <c r="M118" i="1"/>
  <c r="BO120" i="1"/>
  <c r="BO121" i="1"/>
  <c r="BO116" i="1"/>
  <c r="M124" i="1"/>
  <c r="AK65" i="1"/>
  <c r="AG123" i="1"/>
  <c r="AT21" i="1"/>
  <c r="V39" i="1"/>
  <c r="X123" i="1"/>
  <c r="AY60" i="1"/>
  <c r="AY52" i="1" s="1"/>
  <c r="AY116" i="1"/>
  <c r="O115" i="1"/>
  <c r="AK72" i="1"/>
  <c r="Y43" i="1"/>
  <c r="AK43" i="1"/>
  <c r="R115" i="1"/>
  <c r="S123" i="1" s="1"/>
  <c r="AP60" i="1"/>
  <c r="AP52" i="1" s="1"/>
  <c r="AQ60" i="1" s="1"/>
  <c r="AP119" i="1"/>
  <c r="AP123" i="1" s="1"/>
  <c r="AA123" i="1"/>
  <c r="J32" i="1"/>
  <c r="J31" i="1"/>
  <c r="M119" i="1"/>
  <c r="AK33" i="1"/>
  <c r="S43" i="1"/>
  <c r="Y90" i="1"/>
  <c r="AZ97" i="1"/>
  <c r="AK50" i="1"/>
  <c r="AB32" i="1"/>
  <c r="BK115" i="1"/>
  <c r="BL123" i="1" s="1"/>
  <c r="BO124" i="1"/>
  <c r="BW115" i="1"/>
  <c r="BX123" i="1" s="1"/>
  <c r="BX61" i="1"/>
  <c r="BX57" i="1"/>
  <c r="BX58" i="1"/>
  <c r="BX55" i="1"/>
  <c r="BX56" i="1"/>
  <c r="BX53" i="1"/>
  <c r="BX54" i="1"/>
  <c r="Y33" i="1"/>
  <c r="BB60" i="1"/>
  <c r="BB52" i="1" s="1"/>
  <c r="J34" i="1"/>
  <c r="Y73" i="1"/>
  <c r="P34" i="1"/>
  <c r="R52" i="1"/>
  <c r="S60" i="1" s="1"/>
  <c r="AN90" i="1"/>
  <c r="S42" i="1"/>
  <c r="S50" i="1"/>
  <c r="Y84" i="1"/>
  <c r="J38" i="1"/>
  <c r="P33" i="1"/>
  <c r="AN85" i="1"/>
  <c r="AM60" i="1"/>
  <c r="AM52" i="1" s="1"/>
  <c r="AZ39" i="1"/>
  <c r="V45" i="1"/>
  <c r="Y83" i="1"/>
  <c r="G53" i="1"/>
  <c r="J33" i="1"/>
  <c r="V66" i="1"/>
  <c r="AJ60" i="1"/>
  <c r="AJ52" i="1" s="1"/>
  <c r="AZ33" i="1"/>
  <c r="AW91" i="1"/>
  <c r="V50" i="1"/>
  <c r="Y85" i="1"/>
  <c r="V32" i="1"/>
  <c r="AB38" i="1"/>
  <c r="BO23" i="1"/>
  <c r="BO24" i="1"/>
  <c r="BI38" i="1"/>
  <c r="U60" i="1"/>
  <c r="U52" i="1" s="1"/>
  <c r="AT16" i="1"/>
  <c r="AT22" i="1"/>
  <c r="BI34" i="1"/>
  <c r="BC31" i="1"/>
  <c r="AW90" i="1"/>
  <c r="AK49" i="1"/>
  <c r="AK105" i="1"/>
  <c r="AK45" i="1"/>
  <c r="G60" i="1"/>
  <c r="V33" i="1"/>
  <c r="Y68" i="1"/>
  <c r="P39" i="1"/>
  <c r="Y31" i="1"/>
  <c r="AN91" i="1"/>
  <c r="BU42" i="1"/>
  <c r="AG60" i="1"/>
  <c r="AG52" i="1" s="1"/>
  <c r="AH60" i="1" s="1"/>
  <c r="AN84" i="1"/>
  <c r="AH32" i="1"/>
  <c r="AW84" i="1"/>
  <c r="AK68" i="1"/>
  <c r="AK42" i="1"/>
  <c r="G55" i="1"/>
  <c r="V73" i="1"/>
  <c r="AH33" i="1"/>
  <c r="Y44" i="1"/>
  <c r="AH31" i="1"/>
  <c r="Y39" i="1"/>
  <c r="Y66" i="1"/>
  <c r="AW86" i="1"/>
  <c r="AZ95" i="1"/>
  <c r="AK73" i="1"/>
  <c r="G61" i="1"/>
  <c r="V67" i="1"/>
  <c r="P32" i="1"/>
  <c r="Y42" i="1"/>
  <c r="Y38" i="1"/>
  <c r="AZ101" i="1"/>
  <c r="AW83" i="1"/>
  <c r="AZ102" i="1"/>
  <c r="AK106" i="1"/>
  <c r="Y72" i="1"/>
  <c r="P38" i="1"/>
  <c r="AS30" i="1"/>
  <c r="AT38" i="1" s="1"/>
  <c r="AZ84" i="1"/>
  <c r="AK112" i="1"/>
  <c r="Y112" i="1"/>
  <c r="BL33" i="1"/>
  <c r="AK108" i="1"/>
  <c r="Y107" i="1"/>
  <c r="V38" i="1"/>
  <c r="AK32" i="1"/>
  <c r="V65" i="1"/>
  <c r="X60" i="1"/>
  <c r="X52" i="1" s="1"/>
  <c r="CG57" i="1"/>
  <c r="CG53" i="1"/>
  <c r="CG61" i="1"/>
  <c r="CG55" i="1"/>
  <c r="CG56" i="1"/>
  <c r="CG58" i="1"/>
  <c r="CG54" i="1"/>
  <c r="CG31" i="1"/>
  <c r="CG33" i="1"/>
  <c r="CG35" i="1"/>
  <c r="CG32" i="1"/>
  <c r="CG34" i="1"/>
  <c r="CG36" i="1"/>
  <c r="CG39" i="1"/>
  <c r="CG60" i="1"/>
  <c r="BF60" i="1"/>
  <c r="BF56" i="1"/>
  <c r="BF54" i="1"/>
  <c r="BF61" i="1"/>
  <c r="AH49" i="1"/>
  <c r="AH43" i="1"/>
  <c r="AH45" i="1"/>
  <c r="BI56" i="1"/>
  <c r="BI54" i="1"/>
  <c r="BI61" i="1"/>
  <c r="BI60" i="1"/>
  <c r="AZ31" i="1"/>
  <c r="AK38" i="1"/>
  <c r="BL31" i="1"/>
  <c r="AK86" i="1"/>
  <c r="S44" i="1"/>
  <c r="BC38" i="1"/>
  <c r="AK31" i="1"/>
  <c r="BL38" i="1"/>
  <c r="BC34" i="1"/>
  <c r="AZ32" i="1"/>
  <c r="AK83" i="1"/>
  <c r="AH38" i="1"/>
  <c r="BU46" i="1"/>
  <c r="BC32" i="1"/>
  <c r="BC33" i="1"/>
  <c r="BL36" i="1"/>
  <c r="BU44" i="1"/>
  <c r="AK90" i="1"/>
  <c r="AK34" i="1"/>
  <c r="AZ38" i="1"/>
  <c r="BQ30" i="1"/>
  <c r="BQ52" i="1"/>
  <c r="BU45" i="1"/>
  <c r="BU47" i="1"/>
  <c r="BU43" i="1"/>
  <c r="BU49" i="1"/>
  <c r="BU99" i="1"/>
  <c r="BU97" i="1"/>
  <c r="BU95" i="1"/>
  <c r="BU102" i="1"/>
  <c r="BU98" i="1"/>
  <c r="BU96" i="1"/>
  <c r="BU94" i="1"/>
  <c r="BU70" i="1"/>
  <c r="BU68" i="1"/>
  <c r="BU66" i="1"/>
  <c r="BU73" i="1"/>
  <c r="BU69" i="1"/>
  <c r="BU67" i="1"/>
  <c r="BU65" i="1"/>
  <c r="BU14" i="1"/>
  <c r="BU12" i="1"/>
  <c r="BU10" i="1"/>
  <c r="BU17" i="1"/>
  <c r="BU13" i="1"/>
  <c r="BU11" i="1"/>
  <c r="BU9" i="1"/>
  <c r="BT30" i="1"/>
  <c r="BU38" i="1" s="1"/>
  <c r="BT52" i="1"/>
  <c r="BU60" i="1" s="1"/>
  <c r="BU72" i="1"/>
  <c r="BU16" i="1"/>
  <c r="BU110" i="1"/>
  <c r="BU108" i="1"/>
  <c r="BU106" i="1"/>
  <c r="BU113" i="1"/>
  <c r="BU109" i="1"/>
  <c r="BU107" i="1"/>
  <c r="BU105" i="1"/>
  <c r="BU88" i="1"/>
  <c r="BU86" i="1"/>
  <c r="BU84" i="1"/>
  <c r="BU91" i="1"/>
  <c r="BU87" i="1"/>
  <c r="BU85" i="1"/>
  <c r="BU83" i="1"/>
  <c r="BU25" i="1"/>
  <c r="BU23" i="1"/>
  <c r="BU21" i="1"/>
  <c r="BU28" i="1"/>
  <c r="BU24" i="1"/>
  <c r="BU22" i="1"/>
  <c r="BU20" i="1"/>
  <c r="BU101" i="1"/>
  <c r="BU112" i="1"/>
  <c r="BI39" i="1"/>
  <c r="BI33" i="1"/>
  <c r="BE30" i="1"/>
  <c r="AM30" i="1"/>
  <c r="AN38" i="1" s="1"/>
  <c r="AQ39" i="1"/>
  <c r="AQ34" i="1"/>
  <c r="AQ32" i="1"/>
  <c r="AQ33" i="1"/>
  <c r="AQ31" i="1"/>
  <c r="BO21" i="1"/>
  <c r="BO28" i="1"/>
  <c r="BO22" i="1"/>
  <c r="BO27" i="1"/>
  <c r="BO110" i="1"/>
  <c r="BO108" i="1"/>
  <c r="BO106" i="1"/>
  <c r="BO113" i="1"/>
  <c r="BO109" i="1"/>
  <c r="BO107" i="1"/>
  <c r="BO105" i="1"/>
  <c r="BO88" i="1"/>
  <c r="BO86" i="1"/>
  <c r="BO84" i="1"/>
  <c r="BO91" i="1"/>
  <c r="BO87" i="1"/>
  <c r="BO85" i="1"/>
  <c r="BO83" i="1"/>
  <c r="BN30" i="1"/>
  <c r="BO38" i="1" s="1"/>
  <c r="BO112" i="1"/>
  <c r="BO99" i="1"/>
  <c r="BO97" i="1"/>
  <c r="BO95" i="1"/>
  <c r="BO102" i="1"/>
  <c r="BO98" i="1"/>
  <c r="BO96" i="1"/>
  <c r="BO94" i="1"/>
  <c r="BO70" i="1"/>
  <c r="BO68" i="1"/>
  <c r="BO66" i="1"/>
  <c r="BO73" i="1"/>
  <c r="BO69" i="1"/>
  <c r="BO67" i="1"/>
  <c r="BO65" i="1"/>
  <c r="BN52" i="1"/>
  <c r="BO60" i="1" s="1"/>
  <c r="BO101" i="1"/>
  <c r="BO90" i="1"/>
  <c r="BK52" i="1"/>
  <c r="AV60" i="1"/>
  <c r="AW44" i="1"/>
  <c r="AW42" i="1"/>
  <c r="AW45" i="1"/>
  <c r="AW50" i="1"/>
  <c r="AW43" i="1"/>
  <c r="AW22" i="1"/>
  <c r="AW20" i="1"/>
  <c r="AW23" i="1"/>
  <c r="AW28" i="1"/>
  <c r="AW21" i="1"/>
  <c r="AW11" i="1"/>
  <c r="AW9" i="1"/>
  <c r="AW12" i="1"/>
  <c r="AW17" i="1"/>
  <c r="AW10" i="1"/>
  <c r="AS60" i="1"/>
  <c r="BI55" i="1"/>
  <c r="BI53" i="1"/>
  <c r="AB56" i="1"/>
  <c r="AB54" i="1"/>
  <c r="AB61" i="1"/>
  <c r="AB55" i="1"/>
  <c r="AB53" i="1"/>
  <c r="P56" i="1"/>
  <c r="P54" i="1"/>
  <c r="P61" i="1"/>
  <c r="P53" i="1"/>
  <c r="P55" i="1"/>
  <c r="AV30" i="1"/>
  <c r="AP41" i="1"/>
  <c r="AM41" i="1"/>
  <c r="AZ91" i="1"/>
  <c r="AZ86" i="1"/>
  <c r="AZ85" i="1"/>
  <c r="AZ83" i="1"/>
  <c r="AS41" i="1"/>
  <c r="AT49" i="1" s="1"/>
  <c r="BF55" i="1"/>
  <c r="BF53" i="1"/>
  <c r="AW67" i="1"/>
  <c r="AW65" i="1"/>
  <c r="AW73" i="1"/>
  <c r="AW66" i="1"/>
  <c r="AW68" i="1"/>
  <c r="AH91" i="1"/>
  <c r="AH86" i="1"/>
  <c r="AH84" i="1"/>
  <c r="AH85" i="1"/>
  <c r="AH83" i="1"/>
  <c r="AH50" i="1"/>
  <c r="AH44" i="1"/>
  <c r="AH42" i="1"/>
  <c r="M61" i="1"/>
  <c r="M55" i="1"/>
  <c r="M53" i="1"/>
  <c r="M56" i="1"/>
  <c r="M54" i="1"/>
  <c r="J53" i="1" l="1"/>
  <c r="S53" i="1"/>
  <c r="AH55" i="1"/>
  <c r="AE56" i="1"/>
  <c r="AH53" i="1"/>
  <c r="AT33" i="1"/>
  <c r="BC116" i="1"/>
  <c r="BC117" i="1"/>
  <c r="S124" i="1"/>
  <c r="AP115" i="1"/>
  <c r="AQ123" i="1" s="1"/>
  <c r="P124" i="1"/>
  <c r="P119" i="1"/>
  <c r="P118" i="1"/>
  <c r="P117" i="1"/>
  <c r="P116" i="1"/>
  <c r="J55" i="1"/>
  <c r="AE54" i="1"/>
  <c r="J56" i="1"/>
  <c r="AM115" i="1"/>
  <c r="AN123" i="1" s="1"/>
  <c r="S55" i="1"/>
  <c r="BC123" i="1"/>
  <c r="AJ115" i="1"/>
  <c r="U115" i="1"/>
  <c r="V123" i="1" s="1"/>
  <c r="BC119" i="1"/>
  <c r="AA115" i="1"/>
  <c r="AB123" i="1" s="1"/>
  <c r="BL120" i="1"/>
  <c r="BL121" i="1"/>
  <c r="BL117" i="1"/>
  <c r="BL116" i="1"/>
  <c r="BL124" i="1"/>
  <c r="BL118" i="1"/>
  <c r="BL119" i="1"/>
  <c r="S61" i="1"/>
  <c r="J61" i="1"/>
  <c r="AD123" i="1"/>
  <c r="AD115" i="1" s="1"/>
  <c r="J54" i="1"/>
  <c r="AE53" i="1"/>
  <c r="AE55" i="1"/>
  <c r="BC124" i="1"/>
  <c r="X115" i="1"/>
  <c r="AG115" i="1"/>
  <c r="AS115" i="1"/>
  <c r="AT123" i="1" s="1"/>
  <c r="AV115" i="1"/>
  <c r="AW123" i="1" s="1"/>
  <c r="BC118" i="1"/>
  <c r="AY123" i="1"/>
  <c r="S54" i="1"/>
  <c r="AE61" i="1"/>
  <c r="S118" i="1"/>
  <c r="S117" i="1"/>
  <c r="S119" i="1"/>
  <c r="S116" i="1"/>
  <c r="P123" i="1"/>
  <c r="BF119" i="1"/>
  <c r="BF116" i="1"/>
  <c r="BF124" i="1"/>
  <c r="BF117" i="1"/>
  <c r="BF118" i="1"/>
  <c r="I123" i="1"/>
  <c r="BX124" i="1"/>
  <c r="BX118" i="1"/>
  <c r="BX119" i="1"/>
  <c r="BX121" i="1"/>
  <c r="BX120" i="1"/>
  <c r="BX116" i="1"/>
  <c r="BX117" i="1"/>
  <c r="AH56" i="1"/>
  <c r="S56" i="1"/>
  <c r="AH54" i="1"/>
  <c r="AT32" i="1"/>
  <c r="AT39" i="1"/>
  <c r="AH61" i="1"/>
  <c r="AT34" i="1"/>
  <c r="AT31" i="1"/>
  <c r="BR53" i="1"/>
  <c r="BR54" i="1"/>
  <c r="BR55" i="1"/>
  <c r="BR56" i="1"/>
  <c r="BR57" i="1"/>
  <c r="BR58" i="1"/>
  <c r="BR61" i="1"/>
  <c r="BR60" i="1"/>
  <c r="BR31" i="1"/>
  <c r="BR32" i="1"/>
  <c r="BR33" i="1"/>
  <c r="BR34" i="1"/>
  <c r="BR35" i="1"/>
  <c r="BR36" i="1"/>
  <c r="BR39" i="1"/>
  <c r="BR38" i="1"/>
  <c r="BU53" i="1"/>
  <c r="BU55" i="1"/>
  <c r="BU61" i="1"/>
  <c r="BU54" i="1"/>
  <c r="BU58" i="1"/>
  <c r="BU57" i="1"/>
  <c r="BU56" i="1"/>
  <c r="BU32" i="1"/>
  <c r="BU34" i="1"/>
  <c r="BU36" i="1"/>
  <c r="BU31" i="1"/>
  <c r="BU33" i="1"/>
  <c r="BU35" i="1"/>
  <c r="BU39" i="1"/>
  <c r="AN33" i="1"/>
  <c r="AN31" i="1"/>
  <c r="AN39" i="1"/>
  <c r="AN34" i="1"/>
  <c r="AN32" i="1"/>
  <c r="BF39" i="1"/>
  <c r="BF33" i="1"/>
  <c r="BF32" i="1"/>
  <c r="BF31" i="1"/>
  <c r="BF34" i="1"/>
  <c r="BF38" i="1"/>
  <c r="BO56" i="1"/>
  <c r="BO55" i="1"/>
  <c r="BO61" i="1"/>
  <c r="BO54" i="1"/>
  <c r="BO58" i="1"/>
  <c r="BO53" i="1"/>
  <c r="BO57" i="1"/>
  <c r="BO39" i="1"/>
  <c r="BO36" i="1"/>
  <c r="BO35" i="1"/>
  <c r="BO34" i="1"/>
  <c r="BO33" i="1"/>
  <c r="BO32" i="1"/>
  <c r="BO31" i="1"/>
  <c r="Y55" i="1"/>
  <c r="Y53" i="1"/>
  <c r="Y61" i="1"/>
  <c r="Y54" i="1"/>
  <c r="Y56" i="1"/>
  <c r="V61" i="1"/>
  <c r="V55" i="1"/>
  <c r="V56" i="1"/>
  <c r="V54" i="1"/>
  <c r="V53" i="1"/>
  <c r="AN45" i="1"/>
  <c r="AN43" i="1"/>
  <c r="AN44" i="1"/>
  <c r="AN42" i="1"/>
  <c r="AN50" i="1"/>
  <c r="AQ45" i="1"/>
  <c r="AQ43" i="1"/>
  <c r="AQ44" i="1"/>
  <c r="AQ42" i="1"/>
  <c r="AQ50" i="1"/>
  <c r="AW39" i="1"/>
  <c r="AW32" i="1"/>
  <c r="AW33" i="1"/>
  <c r="AW31" i="1"/>
  <c r="AW34" i="1"/>
  <c r="AK56" i="1"/>
  <c r="AK61" i="1"/>
  <c r="AK53" i="1"/>
  <c r="AK55" i="1"/>
  <c r="AK54" i="1"/>
  <c r="AN55" i="1"/>
  <c r="AN54" i="1"/>
  <c r="AN53" i="1"/>
  <c r="AN56" i="1"/>
  <c r="AN61" i="1"/>
  <c r="AZ53" i="1"/>
  <c r="AZ56" i="1"/>
  <c r="AZ55" i="1"/>
  <c r="AZ61" i="1"/>
  <c r="AZ54" i="1"/>
  <c r="AS52" i="1"/>
  <c r="AT60" i="1" s="1"/>
  <c r="AV52" i="1"/>
  <c r="AW60" i="1" s="1"/>
  <c r="BC56" i="1"/>
  <c r="BC61" i="1"/>
  <c r="BC53" i="1"/>
  <c r="BC54" i="1"/>
  <c r="BC55" i="1"/>
  <c r="BL54" i="1"/>
  <c r="BL53" i="1"/>
  <c r="BL61" i="1"/>
  <c r="BL55" i="1"/>
  <c r="BL56" i="1"/>
  <c r="BL58" i="1"/>
  <c r="BL57" i="1"/>
  <c r="AQ61" i="1"/>
  <c r="AQ54" i="1"/>
  <c r="AQ53" i="1"/>
  <c r="AQ56" i="1"/>
  <c r="AQ55" i="1"/>
  <c r="AT45" i="1"/>
  <c r="AT43" i="1"/>
  <c r="AT42" i="1"/>
  <c r="AT44" i="1"/>
  <c r="AT50" i="1"/>
  <c r="V60" i="1"/>
  <c r="Y60" i="1"/>
  <c r="AN49" i="1"/>
  <c r="AQ49" i="1"/>
  <c r="AW38" i="1"/>
  <c r="AK60" i="1"/>
  <c r="AN60" i="1"/>
  <c r="AZ60" i="1"/>
  <c r="BC60" i="1"/>
  <c r="BL60" i="1"/>
  <c r="AQ119" i="1" l="1"/>
  <c r="AK118" i="1"/>
  <c r="AK117" i="1"/>
  <c r="AK124" i="1"/>
  <c r="AK119" i="1"/>
  <c r="AK116" i="1"/>
  <c r="Y124" i="1"/>
  <c r="Y119" i="1"/>
  <c r="Y118" i="1"/>
  <c r="Y116" i="1"/>
  <c r="Y117" i="1"/>
  <c r="AB124" i="1"/>
  <c r="AB118" i="1"/>
  <c r="AB116" i="1"/>
  <c r="AB119" i="1"/>
  <c r="AB117" i="1"/>
  <c r="AW119" i="1"/>
  <c r="AW117" i="1"/>
  <c r="AW124" i="1"/>
  <c r="AW118" i="1"/>
  <c r="AW116" i="1"/>
  <c r="AH119" i="1"/>
  <c r="AH116" i="1"/>
  <c r="AH117" i="1"/>
  <c r="AH118" i="1"/>
  <c r="AH124" i="1"/>
  <c r="AN117" i="1"/>
  <c r="AN119" i="1"/>
  <c r="AN124" i="1"/>
  <c r="AN118" i="1"/>
  <c r="AN116" i="1"/>
  <c r="AY115" i="1"/>
  <c r="I115" i="1"/>
  <c r="AT118" i="1"/>
  <c r="AT119" i="1"/>
  <c r="AT124" i="1"/>
  <c r="AT116" i="1"/>
  <c r="AT117" i="1"/>
  <c r="V117" i="1"/>
  <c r="V124" i="1"/>
  <c r="V119" i="1"/>
  <c r="V116" i="1"/>
  <c r="V118" i="1"/>
  <c r="AE123" i="1"/>
  <c r="AE124" i="1"/>
  <c r="AE118" i="1"/>
  <c r="AE117" i="1"/>
  <c r="AE119" i="1"/>
  <c r="Y123" i="1"/>
  <c r="AH123" i="1"/>
  <c r="AE116" i="1"/>
  <c r="AK123" i="1"/>
  <c r="AQ124" i="1"/>
  <c r="AQ118" i="1"/>
  <c r="AQ117" i="1"/>
  <c r="AQ116" i="1"/>
  <c r="AW61" i="1"/>
  <c r="AW54" i="1"/>
  <c r="AW56" i="1"/>
  <c r="AW53" i="1"/>
  <c r="AW55" i="1"/>
  <c r="AT55" i="1"/>
  <c r="AT54" i="1"/>
  <c r="AT61" i="1"/>
  <c r="AT56" i="1"/>
  <c r="AT53" i="1"/>
  <c r="AZ124" i="1" l="1"/>
  <c r="AZ117" i="1"/>
  <c r="AZ118" i="1"/>
  <c r="AZ119" i="1"/>
  <c r="AZ116" i="1"/>
  <c r="AZ123" i="1"/>
  <c r="J124" i="1"/>
  <c r="J119" i="1"/>
  <c r="J116" i="1"/>
  <c r="J118" i="1"/>
  <c r="J117" i="1"/>
  <c r="J123" i="1"/>
</calcChain>
</file>

<file path=xl/sharedStrings.xml><?xml version="1.0" encoding="utf-8"?>
<sst xmlns="http://schemas.openxmlformats.org/spreadsheetml/2006/main" count="507" uniqueCount="94">
  <si>
    <t xml:space="preserve"> </t>
  </si>
  <si>
    <t>NUMBER</t>
  </si>
  <si>
    <t>%</t>
  </si>
  <si>
    <t>Tenured</t>
  </si>
  <si>
    <t>Total Faculty</t>
  </si>
  <si>
    <t>Merit</t>
  </si>
  <si>
    <t xml:space="preserve"> October Payroll Headcount and Percent</t>
  </si>
  <si>
    <t>Faculty</t>
  </si>
  <si>
    <t>Tenure Eligible</t>
  </si>
  <si>
    <t>American Indian/Alaskan Native</t>
  </si>
  <si>
    <t>Hispanic</t>
  </si>
  <si>
    <t>Contract</t>
  </si>
  <si>
    <t xml:space="preserve"> ––––1994––––      </t>
  </si>
  <si>
    <t xml:space="preserve"> ––––1999––––      </t>
  </si>
  <si>
    <t xml:space="preserve"> ––––1998––––      </t>
  </si>
  <si>
    <t xml:space="preserve"> ––––1997––––      </t>
  </si>
  <si>
    <t xml:space="preserve"> ––––1996––––      </t>
  </si>
  <si>
    <t xml:space="preserve"> ––––1995––––      </t>
  </si>
  <si>
    <t xml:space="preserve"> ––––1993––––      </t>
  </si>
  <si>
    <t xml:space="preserve"> ––––1992––––      </t>
  </si>
  <si>
    <t xml:space="preserve"> ––––1991––––      </t>
  </si>
  <si>
    <t xml:space="preserve"> ––––1990––––      </t>
  </si>
  <si>
    <t xml:space="preserve"> ––––2000––––      </t>
  </si>
  <si>
    <t>Professional and Scientific</t>
  </si>
  <si>
    <t xml:space="preserve"> ––––2001––––      </t>
  </si>
  <si>
    <t xml:space="preserve"> ––––2002––––      </t>
  </si>
  <si>
    <t xml:space="preserve"> ––––2003––––      </t>
  </si>
  <si>
    <t xml:space="preserve"> ––––2004––––      </t>
  </si>
  <si>
    <t xml:space="preserve"> ––––2006––––      </t>
  </si>
  <si>
    <t xml:space="preserve"> ––––2007––––      </t>
  </si>
  <si>
    <t xml:space="preserve"> ––––2008––––      </t>
  </si>
  <si>
    <t xml:space="preserve"> ––––2009––––      </t>
  </si>
  <si>
    <t>Asian</t>
  </si>
  <si>
    <t>Native Hawaiian/Pacific Islander</t>
  </si>
  <si>
    <t>Two or More Races</t>
  </si>
  <si>
    <t xml:space="preserve"> ––––2010––––      </t>
  </si>
  <si>
    <t xml:space="preserve"> ––––2011––––      </t>
  </si>
  <si>
    <t xml:space="preserve"> ––––2012––––      </t>
  </si>
  <si>
    <t>White</t>
  </si>
  <si>
    <t xml:space="preserve"> ––––––2013––––––</t>
  </si>
  <si>
    <t xml:space="preserve"> ––––––2014––––––</t>
  </si>
  <si>
    <t xml:space="preserve"> ––––––2015––––––</t>
  </si>
  <si>
    <t xml:space="preserve"> ––––––2016––––––</t>
  </si>
  <si>
    <t xml:space="preserve"> ––––––2017––––––</t>
  </si>
  <si>
    <t>Continued</t>
  </si>
  <si>
    <t xml:space="preserve"> Office of Institutional Research</t>
  </si>
  <si>
    <t xml:space="preserve"> ––––2005––––     </t>
  </si>
  <si>
    <t>––––––2013––––––</t>
  </si>
  <si>
    <t>––––––2014––––––</t>
  </si>
  <si>
    <t>––––––2015––––––</t>
  </si>
  <si>
    <t>––––––2016––––––</t>
  </si>
  <si>
    <t>––––––2017––––––</t>
  </si>
  <si>
    <t xml:space="preserve"> See Next Page for Charts</t>
  </si>
  <si>
    <t xml:space="preserve"> Continued on Next Page</t>
  </si>
  <si>
    <t>Total Tenured &amp; Tenure Eligible</t>
  </si>
  <si>
    <t>Black or African American</t>
  </si>
  <si>
    <t>––––––2018––––––</t>
  </si>
  <si>
    <t xml:space="preserve"> ––––––2018––––––</t>
  </si>
  <si>
    <t>Undeclared or Missing</t>
  </si>
  <si>
    <r>
      <t xml:space="preserve">    </t>
    </r>
    <r>
      <rPr>
        <sz val="7"/>
        <rFont val="Univers 55"/>
      </rPr>
      <t xml:space="preserve">  </t>
    </r>
    <r>
      <rPr>
        <sz val="8"/>
        <rFont val="Univers 55"/>
        <family val="2"/>
      </rPr>
      <t xml:space="preserve">     ---</t>
    </r>
  </si>
  <si>
    <r>
      <t xml:space="preserve">   </t>
    </r>
    <r>
      <rPr>
        <sz val="8"/>
        <rFont val="Univers 55"/>
        <family val="2"/>
      </rPr>
      <t xml:space="preserve">     ---</t>
    </r>
  </si>
  <si>
    <r>
      <t xml:space="preserve">    </t>
    </r>
    <r>
      <rPr>
        <sz val="7"/>
        <rFont val="Univers 55"/>
      </rPr>
      <t xml:space="preserve"> </t>
    </r>
    <r>
      <rPr>
        <sz val="8"/>
        <rFont val="Univers 55"/>
        <family val="2"/>
      </rPr>
      <t xml:space="preserve">   ---</t>
    </r>
  </si>
  <si>
    <r>
      <t xml:space="preserve">    </t>
    </r>
    <r>
      <rPr>
        <sz val="7"/>
        <rFont val="Univers 55"/>
      </rPr>
      <t xml:space="preserve">  </t>
    </r>
    <r>
      <rPr>
        <sz val="8"/>
        <rFont val="Univers 55"/>
        <family val="2"/>
      </rPr>
      <t xml:space="preserve">  ---</t>
    </r>
  </si>
  <si>
    <r>
      <t xml:space="preserve">   </t>
    </r>
    <r>
      <rPr>
        <sz val="8"/>
        <rFont val="Univers 55"/>
        <family val="2"/>
      </rPr>
      <t xml:space="preserve">    ---</t>
    </r>
  </si>
  <si>
    <t xml:space="preserve">    Undeclared or Missing</t>
  </si>
  <si>
    <r>
      <t>––––––2019</t>
    </r>
    <r>
      <rPr>
        <vertAlign val="superscript"/>
        <sz val="9"/>
        <rFont val="Univers LT Std 45 Light"/>
        <family val="2"/>
      </rPr>
      <t>2</t>
    </r>
    <r>
      <rPr>
        <b/>
        <sz val="9"/>
        <rFont val="Univers LT Std 45 Light"/>
        <family val="2"/>
      </rPr>
      <t>––––––</t>
    </r>
  </si>
  <si>
    <r>
      <t xml:space="preserve"> 2 </t>
    </r>
    <r>
      <rPr>
        <sz val="8.5"/>
        <rFont val="ITC Berkeley Oldstyle Std"/>
        <family val="1"/>
      </rPr>
      <t>Beginning in 2019, FTE is based on the fraction of each person's annual appointment  in their primary department for which they are receiving the most funding.</t>
    </r>
  </si>
  <si>
    <t>Undeclared/Missing</t>
  </si>
  <si>
    <t xml:space="preserve"> Total Multicultural</t>
  </si>
  <si>
    <t>Total Multicultural</t>
  </si>
  <si>
    <t>––––––2020––––––</t>
  </si>
  <si>
    <t>International</t>
  </si>
  <si>
    <t>Visiting Scientists</t>
  </si>
  <si>
    <t xml:space="preserve">    without Faculty Rank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</si>
  <si>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</si>
  <si>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</t>
  </si>
  <si>
    <r>
      <t xml:space="preserve">  </t>
    </r>
    <r>
      <rPr>
        <sz val="8"/>
        <rFont val="Univers 55"/>
        <family val="2"/>
      </rPr>
      <t xml:space="preserve">   ---</t>
    </r>
  </si>
  <si>
    <t>Headcount of Minority Employees</t>
  </si>
  <si>
    <t>Headcount of Multicultural Employees</t>
  </si>
  <si>
    <t>––––––2021––––––</t>
  </si>
  <si>
    <t>American Indian/Alaska Native</t>
  </si>
  <si>
    <t>––––––2022––––––</t>
  </si>
  <si>
    <t>––––––2023––––––</t>
  </si>
  <si>
    <t>––––––2024––––––</t>
  </si>
  <si>
    <t>Personnel by Race/Ethnicity</t>
  </si>
  <si>
    <t>PERSONNEL GROUP</t>
  </si>
  <si>
    <t>TOTAL PERSONNEL</t>
  </si>
  <si>
    <r>
      <t xml:space="preserve"> 1 </t>
    </r>
    <r>
      <rPr>
        <sz val="8.5"/>
        <rFont val="ITC Berkeley Oldstyle Std"/>
        <family val="1"/>
      </rPr>
      <t>International indicates Non-Resident Alien personnel. This is a new category which is now captured with the implementation of Workday HCM.</t>
    </r>
  </si>
  <si>
    <t xml:space="preserve">   Additionally, these numbers reflect status as of October 31st. Data now reflects Workday HCM and Finance values.</t>
  </si>
  <si>
    <r>
      <t xml:space="preserve"> 1</t>
    </r>
    <r>
      <rPr>
        <vertAlign val="superscript"/>
        <sz val="8.5"/>
        <rFont val="ITC Berkeley Oldstyle Std"/>
        <family val="1"/>
      </rPr>
      <t xml:space="preserve"> </t>
    </r>
    <r>
      <rPr>
        <sz val="8.5"/>
        <rFont val="ITC Berkeley Oldstyle Std"/>
        <family val="1"/>
      </rPr>
      <t>Beginning 2019, an Undeclared/Missing category was added to reflect personnel who either did not report a race/ethnicity or the data field was blank.</t>
    </r>
  </si>
  <si>
    <t>––––––2025––––––</t>
  </si>
  <si>
    <t xml:space="preserve"> Last Updated: 12/15/2025</t>
  </si>
  <si>
    <t xml:space="preserve"> Office of Institutional Research (Data Source: Workday)</t>
  </si>
  <si>
    <t>Term Faculty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</si>
</sst>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?.0%"/>
    <numFmt numFmtId="166" formatCode="?0.0%"/>
    <numFmt numFmtId="167" formatCode="??,??0"/>
  </numFmts>
  <fonts count="19">
    <font>
      <sz val="10"/>
      <name val="Univers 55"/>
    </font>
    <font>
      <sz val="11"/>
      <color theme="1"/>
      <name val="Calibri"/>
      <family val="2"/>
      <scheme val="minor"/>
    </font>
    <font>
      <sz val="7"/>
      <name val="Univers 55"/>
      <family val="2"/>
    </font>
    <font>
      <sz val="10"/>
      <name val="Berkeley Italic"/>
    </font>
    <font>
      <b/>
      <sz val="14"/>
      <name val="Univers 55"/>
      <family val="2"/>
    </font>
    <font>
      <i/>
      <sz val="10"/>
      <name val="Berkeley"/>
      <family val="1"/>
    </font>
    <font>
      <sz val="10"/>
      <name val="Univers 55"/>
      <family val="2"/>
    </font>
    <font>
      <b/>
      <sz val="12"/>
      <color rgb="FF000000"/>
      <name val="Univers 45 Light"/>
    </font>
    <font>
      <sz val="8"/>
      <name val="Univers 55"/>
      <family val="2"/>
    </font>
    <font>
      <b/>
      <sz val="8"/>
      <name val="Univers LT Std 45 Light"/>
      <family val="2"/>
    </font>
    <font>
      <b/>
      <sz val="9"/>
      <name val="Univers LT Std 45 Light"/>
      <family val="2"/>
    </font>
    <font>
      <b/>
      <sz val="10"/>
      <name val="Univers LT Std 45 Light"/>
      <family val="2"/>
    </font>
    <font>
      <vertAlign val="superscript"/>
      <sz val="9"/>
      <name val="ITC Berkeley Oldstyle Std"/>
      <family val="1"/>
    </font>
    <font>
      <sz val="9"/>
      <name val="ITC Berkeley Oldstyle Std"/>
      <family val="1"/>
    </font>
    <font>
      <sz val="7"/>
      <name val="Univers 55"/>
    </font>
    <font>
      <i/>
      <sz val="8"/>
      <name val="Univers 55"/>
    </font>
    <font>
      <vertAlign val="superscript"/>
      <sz val="9"/>
      <name val="Univers LT Std 45 Light"/>
      <family val="2"/>
    </font>
    <font>
      <vertAlign val="superscript"/>
      <sz val="8.5"/>
      <name val="ITC Berkeley Oldstyle Std"/>
      <family val="1"/>
    </font>
    <font>
      <sz val="8.5"/>
      <name val="ITC Berkeley Oldstyle St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 style="mediumDashDot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6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0" fillId="0" borderId="1" xfId="0" applyBorder="1"/>
    <xf numFmtId="3" fontId="0" fillId="0" borderId="0" xfId="0" applyNumberFormat="1"/>
    <xf numFmtId="0" fontId="8" fillId="2" borderId="0" xfId="0" applyFont="1" applyFill="1"/>
    <xf numFmtId="167" fontId="8" fillId="2" borderId="0" xfId="0" applyNumberFormat="1" applyFont="1" applyFill="1" applyAlignment="1">
      <alignment horizontal="center"/>
    </xf>
    <xf numFmtId="166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8" fillId="0" borderId="0" xfId="0" applyFont="1"/>
    <xf numFmtId="0" fontId="8" fillId="2" borderId="0" xfId="0" applyFont="1" applyFill="1" applyAlignment="1">
      <alignment vertical="top"/>
    </xf>
    <xf numFmtId="167" fontId="8" fillId="2" borderId="0" xfId="0" applyNumberFormat="1" applyFont="1" applyFill="1" applyAlignment="1">
      <alignment horizontal="center" vertical="top"/>
    </xf>
    <xf numFmtId="166" fontId="8" fillId="2" borderId="0" xfId="0" applyNumberFormat="1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vertical="top"/>
    </xf>
    <xf numFmtId="164" fontId="8" fillId="2" borderId="0" xfId="0" applyNumberFormat="1" applyFont="1" applyFill="1" applyAlignment="1">
      <alignment horizontal="center" vertical="top"/>
    </xf>
    <xf numFmtId="0" fontId="8" fillId="0" borderId="0" xfId="0" applyFont="1" applyAlignment="1">
      <alignment vertical="top"/>
    </xf>
    <xf numFmtId="167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 vertical="top"/>
    </xf>
    <xf numFmtId="165" fontId="8" fillId="0" borderId="0" xfId="0" applyNumberFormat="1" applyFont="1" applyAlignment="1">
      <alignment horizontal="center" vertical="top"/>
    </xf>
    <xf numFmtId="164" fontId="8" fillId="0" borderId="0" xfId="0" applyNumberFormat="1" applyFont="1" applyAlignment="1">
      <alignment horizontal="center" vertical="top"/>
    </xf>
    <xf numFmtId="167" fontId="8" fillId="0" borderId="0" xfId="0" applyNumberFormat="1" applyFont="1" applyAlignment="1">
      <alignment horizontal="center" vertical="top"/>
    </xf>
    <xf numFmtId="1" fontId="10" fillId="0" borderId="0" xfId="0" applyNumberFormat="1" applyFont="1" applyAlignment="1">
      <alignment horizontal="center"/>
    </xf>
    <xf numFmtId="1" fontId="10" fillId="0" borderId="0" xfId="0" applyNumberFormat="1" applyFont="1"/>
    <xf numFmtId="0" fontId="10" fillId="0" borderId="0" xfId="0" applyFont="1"/>
    <xf numFmtId="0" fontId="5" fillId="0" borderId="0" xfId="0" applyFont="1" applyAlignment="1">
      <alignment horizontal="left" vertical="center"/>
    </xf>
    <xf numFmtId="167" fontId="10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7" fontId="10" fillId="2" borderId="0" xfId="0" applyNumberFormat="1" applyFont="1" applyFill="1" applyAlignment="1">
      <alignment horizontal="center"/>
    </xf>
    <xf numFmtId="166" fontId="10" fillId="2" borderId="0" xfId="0" applyNumberFormat="1" applyFont="1" applyFill="1" applyAlignment="1">
      <alignment horizontal="center"/>
    </xf>
    <xf numFmtId="165" fontId="10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10" fillId="2" borderId="0" xfId="0" applyFont="1" applyFill="1"/>
    <xf numFmtId="167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9" fillId="2" borderId="0" xfId="0" applyFont="1" applyFill="1"/>
    <xf numFmtId="167" fontId="9" fillId="2" borderId="0" xfId="0" applyNumberFormat="1" applyFont="1" applyFill="1" applyAlignment="1">
      <alignment horizontal="center"/>
    </xf>
    <xf numFmtId="166" fontId="9" fillId="2" borderId="0" xfId="0" applyNumberFormat="1" applyFont="1" applyFill="1" applyAlignment="1">
      <alignment horizontal="center"/>
    </xf>
    <xf numFmtId="167" fontId="9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vertical="center"/>
    </xf>
    <xf numFmtId="167" fontId="9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0" fontId="8" fillId="2" borderId="0" xfId="0" applyFont="1" applyFill="1" applyAlignment="1">
      <alignment horizontal="left"/>
    </xf>
    <xf numFmtId="167" fontId="13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0" fontId="13" fillId="0" borderId="0" xfId="0" applyFont="1"/>
    <xf numFmtId="167" fontId="9" fillId="0" borderId="4" xfId="0" applyNumberFormat="1" applyFont="1" applyBorder="1" applyAlignment="1">
      <alignment horizontal="center" vertical="center"/>
    </xf>
    <xf numFmtId="167" fontId="10" fillId="0" borderId="3" xfId="0" applyNumberFormat="1" applyFont="1" applyBorder="1" applyAlignment="1">
      <alignment horizontal="center" vertical="center"/>
    </xf>
    <xf numFmtId="167" fontId="9" fillId="2" borderId="3" xfId="0" applyNumberFormat="1" applyFont="1" applyFill="1" applyBorder="1" applyAlignment="1">
      <alignment horizontal="center"/>
    </xf>
    <xf numFmtId="167" fontId="8" fillId="2" borderId="3" xfId="0" applyNumberFormat="1" applyFont="1" applyFill="1" applyBorder="1" applyAlignment="1">
      <alignment horizontal="center"/>
    </xf>
    <xf numFmtId="167" fontId="8" fillId="2" borderId="3" xfId="0" applyNumberFormat="1" applyFont="1" applyFill="1" applyBorder="1" applyAlignment="1">
      <alignment horizontal="center" vertical="top"/>
    </xf>
    <xf numFmtId="167" fontId="9" fillId="0" borderId="3" xfId="0" applyNumberFormat="1" applyFont="1" applyBorder="1" applyAlignment="1">
      <alignment horizontal="center"/>
    </xf>
    <xf numFmtId="167" fontId="8" fillId="0" borderId="3" xfId="0" applyNumberFormat="1" applyFont="1" applyBorder="1" applyAlignment="1">
      <alignment horizontal="center"/>
    </xf>
    <xf numFmtId="167" fontId="8" fillId="0" borderId="3" xfId="0" applyNumberFormat="1" applyFont="1" applyBorder="1" applyAlignment="1">
      <alignment horizontal="center" vertical="top"/>
    </xf>
    <xf numFmtId="167" fontId="10" fillId="0" borderId="3" xfId="0" applyNumberFormat="1" applyFont="1" applyBorder="1" applyAlignment="1">
      <alignment horizontal="center"/>
    </xf>
    <xf numFmtId="167" fontId="8" fillId="2" borderId="0" xfId="0" quotePrefix="1" applyNumberFormat="1" applyFont="1" applyFill="1" applyAlignment="1">
      <alignment horizontal="left" vertical="top"/>
    </xf>
    <xf numFmtId="0" fontId="8" fillId="0" borderId="0" xfId="0" applyFont="1" applyAlignment="1">
      <alignment horizontal="left"/>
    </xf>
    <xf numFmtId="167" fontId="8" fillId="0" borderId="0" xfId="0" quotePrefix="1" applyNumberFormat="1" applyFont="1" applyAlignment="1">
      <alignment horizontal="left" vertical="top"/>
    </xf>
    <xf numFmtId="0" fontId="8" fillId="2" borderId="1" xfId="0" applyFont="1" applyFill="1" applyBorder="1" applyAlignment="1">
      <alignment vertical="top"/>
    </xf>
    <xf numFmtId="167" fontId="8" fillId="2" borderId="1" xfId="0" applyNumberFormat="1" applyFont="1" applyFill="1" applyBorder="1" applyAlignment="1">
      <alignment horizontal="center" vertical="top"/>
    </xf>
    <xf numFmtId="166" fontId="8" fillId="2" borderId="1" xfId="0" applyNumberFormat="1" applyFont="1" applyFill="1" applyBorder="1" applyAlignment="1">
      <alignment horizontal="center" vertical="top"/>
    </xf>
    <xf numFmtId="165" fontId="8" fillId="2" borderId="1" xfId="0" applyNumberFormat="1" applyFont="1" applyFill="1" applyBorder="1" applyAlignment="1">
      <alignment horizontal="center" vertical="top"/>
    </xf>
    <xf numFmtId="164" fontId="8" fillId="2" borderId="1" xfId="0" applyNumberFormat="1" applyFont="1" applyFill="1" applyBorder="1" applyAlignment="1">
      <alignment horizontal="center" vertical="top"/>
    </xf>
    <xf numFmtId="167" fontId="8" fillId="2" borderId="1" xfId="0" quotePrefix="1" applyNumberFormat="1" applyFont="1" applyFill="1" applyBorder="1" applyAlignment="1">
      <alignment horizontal="left" vertical="top"/>
    </xf>
    <xf numFmtId="0" fontId="15" fillId="2" borderId="0" xfId="0" applyFont="1" applyFill="1"/>
    <xf numFmtId="0" fontId="12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7" fillId="0" borderId="0" xfId="0" applyFont="1"/>
    <xf numFmtId="0" fontId="8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167" fontId="8" fillId="2" borderId="4" xfId="0" applyNumberFormat="1" applyFont="1" applyFill="1" applyBorder="1" applyAlignment="1">
      <alignment horizontal="center" vertical="top"/>
    </xf>
    <xf numFmtId="167" fontId="8" fillId="0" borderId="0" xfId="0" quotePrefix="1" applyNumberFormat="1" applyFont="1" applyAlignment="1">
      <alignment horizontal="left"/>
    </xf>
    <xf numFmtId="1" fontId="8" fillId="2" borderId="3" xfId="0" applyNumberFormat="1" applyFont="1" applyFill="1" applyBorder="1" applyAlignment="1">
      <alignment horizontal="right" indent="1"/>
    </xf>
    <xf numFmtId="167" fontId="8" fillId="2" borderId="0" xfId="0" quotePrefix="1" applyNumberFormat="1" applyFont="1" applyFill="1" applyAlignment="1">
      <alignment horizontal="left"/>
    </xf>
    <xf numFmtId="167" fontId="8" fillId="2" borderId="0" xfId="0" applyNumberFormat="1" applyFont="1" applyFill="1" applyAlignment="1">
      <alignment horizontal="left"/>
    </xf>
    <xf numFmtId="166" fontId="8" fillId="2" borderId="0" xfId="0" applyNumberFormat="1" applyFont="1" applyFill="1" applyAlignment="1">
      <alignment horizontal="left"/>
    </xf>
    <xf numFmtId="0" fontId="0" fillId="3" borderId="0" xfId="0" applyFill="1"/>
    <xf numFmtId="0" fontId="1" fillId="0" borderId="5" xfId="0" applyFont="1" applyBorder="1"/>
    <xf numFmtId="166" fontId="8" fillId="2" borderId="1" xfId="0" applyNumberFormat="1" applyFont="1" applyFill="1" applyBorder="1" applyAlignment="1">
      <alignment horizontal="center"/>
    </xf>
    <xf numFmtId="0" fontId="0" fillId="4" borderId="0" xfId="0" applyFill="1"/>
    <xf numFmtId="0" fontId="10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1" fontId="10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1" fontId="10" fillId="0" borderId="0" xfId="0" applyNumberFormat="1" applyFont="1" applyAlignment="1">
      <alignment horizontal="center"/>
    </xf>
    <xf numFmtId="0" fontId="15" fillId="2" borderId="0" xfId="0" applyFont="1" applyFill="1" applyAlignment="1">
      <alignment horizontal="left"/>
    </xf>
    <xf numFmtId="49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8" fillId="2" borderId="1" xfId="0" applyFont="1" applyFill="1" applyBorder="1" applyAlignment="1">
      <alignment horizontal="left" vertical="top"/>
    </xf>
    <xf numFmtId="0" fontId="9" fillId="0" borderId="0" xfId="0" applyFont="1" applyAlignment="1">
      <alignment horizontal="left"/>
    </xf>
    <xf numFmtId="1" fontId="10" fillId="0" borderId="3" xfId="0" applyNumberFormat="1" applyFont="1" applyBorder="1" applyAlignment="1">
      <alignment horizontal="left"/>
    </xf>
    <xf numFmtId="0" fontId="8" fillId="0" borderId="0" xfId="0" applyFont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7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  <mruColors>
      <color rgb="FF665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>
                <a:latin typeface="Univers 45 Light" pitchFamily="34" charset="0"/>
              </a:rPr>
              <a:t>Headcount of Personnel by Ethnicity Group, 2021-2025</a:t>
            </a:r>
          </a:p>
        </c:rich>
      </c:tx>
      <c:layout>
        <c:manualLayout>
          <c:xMode val="edge"/>
          <c:yMode val="edge"/>
          <c:x val="0.13774607687374371"/>
          <c:y val="1.82560900865936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45634062808313"/>
          <c:y val="0.10387754818808785"/>
          <c:w val="0.5967520815076065"/>
          <c:h val="0.78606880167559712"/>
        </c:manualLayout>
      </c:layout>
      <c:lineChart>
        <c:grouping val="standard"/>
        <c:varyColors val="0"/>
        <c:ser>
          <c:idx val="0"/>
          <c:order val="0"/>
          <c:tx>
            <c:strRef>
              <c:f>'Data for Charts'!$A$4</c:f>
              <c:strCache>
                <c:ptCount val="1"/>
                <c:pt idx="0">
                  <c:v>Black or African American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Charts'!$B$3:$N$3</c15:sqref>
                  </c15:fullRef>
                </c:ext>
              </c:extLst>
              <c:f>'Data for Charts'!$J$3:$N$3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Charts'!$B$4:$N$4</c15:sqref>
                  </c15:fullRef>
                </c:ext>
              </c:extLst>
              <c:f>'Data for Charts'!$J$4:$N$4</c:f>
              <c:numCache>
                <c:formatCode>General</c:formatCode>
                <c:ptCount val="5"/>
                <c:pt idx="0">
                  <c:v>132</c:v>
                </c:pt>
                <c:pt idx="1">
                  <c:v>138</c:v>
                </c:pt>
                <c:pt idx="2">
                  <c:v>143</c:v>
                </c:pt>
                <c:pt idx="3">
                  <c:v>157</c:v>
                </c:pt>
                <c:pt idx="4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4-446C-9B93-D30386E047BC}"/>
            </c:ext>
          </c:extLst>
        </c:ser>
        <c:ser>
          <c:idx val="1"/>
          <c:order val="1"/>
          <c:tx>
            <c:strRef>
              <c:f>'Data for Charts'!$A$5</c:f>
              <c:strCache>
                <c:ptCount val="1"/>
                <c:pt idx="0">
                  <c:v>American Indian/Alaska Native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Charts'!$B$3:$N$3</c15:sqref>
                  </c15:fullRef>
                </c:ext>
              </c:extLst>
              <c:f>'Data for Charts'!$J$3:$N$3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Charts'!$B$5:$N$5</c15:sqref>
                  </c15:fullRef>
                </c:ext>
              </c:extLst>
              <c:f>'Data for Charts'!$J$5:$N$5</c:f>
              <c:numCache>
                <c:formatCode>General</c:formatCode>
                <c:ptCount val="5"/>
                <c:pt idx="0">
                  <c:v>15</c:v>
                </c:pt>
                <c:pt idx="1">
                  <c:v>17</c:v>
                </c:pt>
                <c:pt idx="2">
                  <c:v>12</c:v>
                </c:pt>
                <c:pt idx="3">
                  <c:v>13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4-446C-9B93-D30386E047BC}"/>
            </c:ext>
          </c:extLst>
        </c:ser>
        <c:ser>
          <c:idx val="2"/>
          <c:order val="2"/>
          <c:tx>
            <c:strRef>
              <c:f>'Data for Charts'!$A$6</c:f>
              <c:strCache>
                <c:ptCount val="1"/>
                <c:pt idx="0">
                  <c:v>Asian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Charts'!$B$3:$N$3</c15:sqref>
                  </c15:fullRef>
                </c:ext>
              </c:extLst>
              <c:f>'Data for Charts'!$J$3:$N$3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Charts'!$B$6:$N$6</c15:sqref>
                  </c15:fullRef>
                </c:ext>
              </c:extLst>
              <c:f>'Data for Charts'!$J$6:$N$6</c:f>
              <c:numCache>
                <c:formatCode>General</c:formatCode>
                <c:ptCount val="5"/>
                <c:pt idx="0">
                  <c:v>470</c:v>
                </c:pt>
                <c:pt idx="1">
                  <c:v>476</c:v>
                </c:pt>
                <c:pt idx="2">
                  <c:v>499</c:v>
                </c:pt>
                <c:pt idx="3">
                  <c:v>506</c:v>
                </c:pt>
                <c:pt idx="4">
                  <c:v>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E4-446C-9B93-D30386E047BC}"/>
            </c:ext>
          </c:extLst>
        </c:ser>
        <c:ser>
          <c:idx val="3"/>
          <c:order val="3"/>
          <c:tx>
            <c:strRef>
              <c:f>'Data for Charts'!$A$7</c:f>
              <c:strCache>
                <c:ptCount val="1"/>
                <c:pt idx="0">
                  <c:v>Hispanic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Charts'!$B$3:$N$3</c15:sqref>
                  </c15:fullRef>
                </c:ext>
              </c:extLst>
              <c:f>'Data for Charts'!$J$3:$N$3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Charts'!$B$7:$N$7</c15:sqref>
                  </c15:fullRef>
                </c:ext>
              </c:extLst>
              <c:f>'Data for Charts'!$J$7:$N$7</c:f>
              <c:numCache>
                <c:formatCode>General</c:formatCode>
                <c:ptCount val="5"/>
                <c:pt idx="0">
                  <c:v>195</c:v>
                </c:pt>
                <c:pt idx="1">
                  <c:v>190</c:v>
                </c:pt>
                <c:pt idx="2">
                  <c:v>241</c:v>
                </c:pt>
                <c:pt idx="3">
                  <c:v>246</c:v>
                </c:pt>
                <c:pt idx="4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E4-446C-9B93-D30386E047BC}"/>
            </c:ext>
          </c:extLst>
        </c:ser>
        <c:ser>
          <c:idx val="4"/>
          <c:order val="4"/>
          <c:tx>
            <c:strRef>
              <c:f>'Data for Charts'!$A$8</c:f>
              <c:strCache>
                <c:ptCount val="1"/>
                <c:pt idx="0">
                  <c:v>Native Hawaiian/Pacific Islander</c:v>
                </c:pt>
              </c:strCache>
            </c:strRef>
          </c:tx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Charts'!$B$3:$N$3</c15:sqref>
                  </c15:fullRef>
                </c:ext>
              </c:extLst>
              <c:f>'Data for Charts'!$J$3:$N$3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Charts'!$B$8:$N$8</c15:sqref>
                  </c15:fullRef>
                </c:ext>
              </c:extLst>
              <c:f>'Data for Charts'!$J$8:$N$8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E4-446C-9B93-D30386E047BC}"/>
            </c:ext>
          </c:extLst>
        </c:ser>
        <c:ser>
          <c:idx val="5"/>
          <c:order val="5"/>
          <c:tx>
            <c:strRef>
              <c:f>'Data for Charts'!$A$9</c:f>
              <c:strCache>
                <c:ptCount val="1"/>
                <c:pt idx="0">
                  <c:v>Two or More Races</c:v>
                </c:pt>
              </c:strCache>
            </c:strRef>
          </c:tx>
          <c:spPr>
            <a:ln>
              <a:solidFill>
                <a:srgbClr val="665A65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Charts'!$B$3:$N$3</c15:sqref>
                  </c15:fullRef>
                </c:ext>
              </c:extLst>
              <c:f>'Data for Charts'!$J$3:$N$3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Charts'!$B$9:$N$9</c15:sqref>
                  </c15:fullRef>
                </c:ext>
              </c:extLst>
              <c:f>'Data for Charts'!$J$9:$N$9</c:f>
              <c:numCache>
                <c:formatCode>General</c:formatCode>
                <c:ptCount val="5"/>
                <c:pt idx="0">
                  <c:v>68</c:v>
                </c:pt>
                <c:pt idx="1">
                  <c:v>77</c:v>
                </c:pt>
                <c:pt idx="2">
                  <c:v>75</c:v>
                </c:pt>
                <c:pt idx="3">
                  <c:v>87</c:v>
                </c:pt>
                <c:pt idx="4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E4-446C-9B93-D30386E047BC}"/>
            </c:ext>
          </c:extLst>
        </c:ser>
        <c:ser>
          <c:idx val="6"/>
          <c:order val="6"/>
          <c:tx>
            <c:strRef>
              <c:f>'Data for Charts'!$A$10</c:f>
              <c:strCache>
                <c:ptCount val="1"/>
                <c:pt idx="0">
                  <c:v>International</c:v>
                </c:pt>
              </c:strCache>
            </c:strRef>
          </c:tx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Charts'!$B$3:$N$3</c15:sqref>
                  </c15:fullRef>
                </c:ext>
              </c:extLst>
              <c:f>'Data for Charts'!$J$3:$N$3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Charts'!$B$10:$N$10</c15:sqref>
                  </c15:fullRef>
                </c:ext>
              </c:extLst>
              <c:f>'Data for Charts'!$J$10:$N$10</c:f>
              <c:numCache>
                <c:formatCode>General</c:formatCode>
                <c:ptCount val="5"/>
                <c:pt idx="0">
                  <c:v>146</c:v>
                </c:pt>
                <c:pt idx="1">
                  <c:v>150</c:v>
                </c:pt>
                <c:pt idx="2">
                  <c:v>159</c:v>
                </c:pt>
                <c:pt idx="3">
                  <c:v>172</c:v>
                </c:pt>
                <c:pt idx="4">
                  <c:v>171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CAE4-446C-9B93-D30386E047BC}"/>
            </c:ext>
          </c:extLst>
        </c:ser>
        <c:ser>
          <c:idx val="7"/>
          <c:order val="7"/>
          <c:tx>
            <c:strRef>
              <c:f>'Data for Charts'!$A$11</c:f>
              <c:strCache>
                <c:ptCount val="1"/>
                <c:pt idx="0">
                  <c:v>White</c:v>
                </c:pt>
              </c:strCache>
            </c:strRef>
          </c:tx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Charts'!$B$3:$N$3</c15:sqref>
                  </c15:fullRef>
                </c:ext>
              </c:extLst>
              <c:f>'Data for Charts'!$J$3:$N$3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Charts'!$B$11:$N$11</c15:sqref>
                  </c15:fullRef>
                </c:ext>
              </c:extLst>
              <c:f>'Data for Charts'!$J$11:$N$11</c:f>
              <c:numCache>
                <c:formatCode>#,##0</c:formatCode>
                <c:ptCount val="5"/>
                <c:pt idx="0" formatCode="General">
                  <c:v>5305</c:v>
                </c:pt>
                <c:pt idx="1" formatCode="General">
                  <c:v>5443</c:v>
                </c:pt>
                <c:pt idx="2" formatCode="General">
                  <c:v>5561</c:v>
                </c:pt>
                <c:pt idx="3" formatCode="General">
                  <c:v>5922</c:v>
                </c:pt>
                <c:pt idx="4" formatCode="General">
                  <c:v>5514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C-444F-8669-9CDBBC474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130928"/>
        <c:axId val="351131320"/>
        <c:extLst/>
      </c:lineChart>
      <c:catAx>
        <c:axId val="35113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Univers 55" pitchFamily="34" charset="0"/>
              </a:defRPr>
            </a:pPr>
            <a:endParaRPr lang="en-US"/>
          </a:p>
        </c:txPr>
        <c:crossAx val="351131320"/>
        <c:crosses val="autoZero"/>
        <c:auto val="1"/>
        <c:lblAlgn val="ctr"/>
        <c:lblOffset val="100"/>
        <c:noMultiLvlLbl val="0"/>
      </c:catAx>
      <c:valAx>
        <c:axId val="351131320"/>
        <c:scaling>
          <c:orientation val="minMax"/>
          <c:max val="6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Univers 55" pitchFamily="34" charset="0"/>
              </a:defRPr>
            </a:pPr>
            <a:endParaRPr lang="en-US"/>
          </a:p>
        </c:txPr>
        <c:crossAx val="351130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44851401396823"/>
          <c:y val="0.2767091533343452"/>
          <c:w val="0.29786100843510221"/>
          <c:h val="0.40768011842982499"/>
        </c:manualLayout>
      </c:layout>
      <c:overlay val="1"/>
      <c:spPr>
        <a:noFill/>
      </c:spPr>
      <c:txPr>
        <a:bodyPr/>
        <a:lstStyle/>
        <a:p>
          <a:pPr>
            <a:defRPr sz="900" b="1">
              <a:latin typeface="Univers 55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Univers 45 Light" pitchFamily="34" charset="0"/>
              </a:defRPr>
            </a:pPr>
            <a:r>
              <a:rPr lang="en-US" sz="1400" b="1" i="0" baseline="0">
                <a:effectLst/>
                <a:latin typeface="Univers 45 Light" pitchFamily="34" charset="0"/>
              </a:rPr>
              <a:t>Headcount of Multicultural Personnel, 2021-2025</a:t>
            </a:r>
            <a:endParaRPr lang="en-US" sz="1400">
              <a:effectLst/>
              <a:latin typeface="Univers 45 Light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15006870629358"/>
          <c:y val="9.8121696007406806E-2"/>
          <c:w val="0.70499712566704087"/>
          <c:h val="0.802554599849416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Charts'!$A$22</c:f>
              <c:strCache>
                <c:ptCount val="1"/>
                <c:pt idx="0">
                  <c:v>Total Multicultural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Charts'!$B$21:$N$21</c15:sqref>
                  </c15:fullRef>
                </c:ext>
              </c:extLst>
              <c:f>'Data for Charts'!$J$21:$N$21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Charts'!$B$22:$N$22</c15:sqref>
                  </c15:fullRef>
                </c:ext>
              </c:extLst>
              <c:f>'Data for Charts'!$J$22:$N$22</c:f>
              <c:numCache>
                <c:formatCode>General</c:formatCode>
                <c:ptCount val="5"/>
                <c:pt idx="0">
                  <c:v>1029</c:v>
                </c:pt>
                <c:pt idx="1">
                  <c:v>1050</c:v>
                </c:pt>
                <c:pt idx="2">
                  <c:v>1131</c:v>
                </c:pt>
                <c:pt idx="3">
                  <c:v>1183</c:v>
                </c:pt>
                <c:pt idx="4">
                  <c:v>1166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E-4422-9999-1673781761E8}"/>
            </c:ext>
          </c:extLst>
        </c:ser>
        <c:ser>
          <c:idx val="1"/>
          <c:order val="1"/>
          <c:tx>
            <c:strRef>
              <c:f>'Data for Charts'!$A$23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Charts'!$B$21:$N$21</c15:sqref>
                  </c15:fullRef>
                </c:ext>
              </c:extLst>
              <c:f>'Data for Charts'!$J$21:$N$21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Charts'!$B$23:$N$23</c15:sqref>
                  </c15:fullRef>
                </c:ext>
              </c:extLst>
              <c:f>'Data for Charts'!$J$23:$N$23</c:f>
              <c:numCache>
                <c:formatCode>#,##0</c:formatCode>
                <c:ptCount val="5"/>
                <c:pt idx="0" formatCode="General">
                  <c:v>5305</c:v>
                </c:pt>
                <c:pt idx="1" formatCode="General">
                  <c:v>5443</c:v>
                </c:pt>
                <c:pt idx="2" formatCode="General">
                  <c:v>5561</c:v>
                </c:pt>
                <c:pt idx="3" formatCode="General">
                  <c:v>5922</c:v>
                </c:pt>
                <c:pt idx="4" formatCode="General">
                  <c:v>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FE-4422-9999-1673781761E8}"/>
            </c:ext>
          </c:extLst>
        </c:ser>
        <c:ser>
          <c:idx val="2"/>
          <c:order val="2"/>
          <c:tx>
            <c:strRef>
              <c:f>'Data for Charts'!$A$24</c:f>
              <c:strCache>
                <c:ptCount val="1"/>
                <c:pt idx="0">
                  <c:v>Undeclared/Missing</c:v>
                </c:pt>
              </c:strCache>
            </c:strRef>
          </c:tx>
          <c:spPr>
            <a:solidFill>
              <a:srgbClr val="00B050"/>
            </a:solidFill>
            <a:ln w="25400">
              <a:solidFill>
                <a:srgbClr val="00B050"/>
              </a:solidFill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Charts'!$B$21:$N$21</c15:sqref>
                  </c15:fullRef>
                </c:ext>
              </c:extLst>
              <c:f>'Data for Charts'!$J$21:$N$21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Charts'!$B$24:$N$24</c15:sqref>
                  </c15:fullRef>
                </c:ext>
              </c:extLst>
              <c:f>'Data for Charts'!$J$24:$N$24</c:f>
              <c:numCache>
                <c:formatCode>General</c:formatCode>
                <c:ptCount val="5"/>
                <c:pt idx="0">
                  <c:v>4</c:v>
                </c:pt>
                <c:pt idx="1">
                  <c:v>12</c:v>
                </c:pt>
                <c:pt idx="2">
                  <c:v>2</c:v>
                </c:pt>
                <c:pt idx="3">
                  <c:v>29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1-44FC-A9C4-CD987DCA0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351129752"/>
        <c:axId val="351130144"/>
      </c:barChart>
      <c:catAx>
        <c:axId val="351129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Univers 55" pitchFamily="34" charset="0"/>
              </a:defRPr>
            </a:pPr>
            <a:endParaRPr lang="en-US"/>
          </a:p>
        </c:txPr>
        <c:crossAx val="351130144"/>
        <c:crossesAt val="0"/>
        <c:auto val="1"/>
        <c:lblAlgn val="ctr"/>
        <c:lblOffset val="100"/>
        <c:noMultiLvlLbl val="0"/>
      </c:catAx>
      <c:valAx>
        <c:axId val="35113014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Univers 55" pitchFamily="34" charset="0"/>
              </a:defRPr>
            </a:pPr>
            <a:endParaRPr lang="en-US"/>
          </a:p>
        </c:txPr>
        <c:crossAx val="351129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94141629328355"/>
          <c:y val="0.41189477240861883"/>
          <c:w val="0.17205858370671645"/>
          <c:h val="0.2394739152528394"/>
        </c:manualLayout>
      </c:layout>
      <c:overlay val="0"/>
      <c:txPr>
        <a:bodyPr/>
        <a:lstStyle/>
        <a:p>
          <a:pPr>
            <a:defRPr sz="900" b="1">
              <a:latin typeface="Univers 55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15</xdr:col>
      <xdr:colOff>0</xdr:colOff>
      <xdr:row>3</xdr:row>
      <xdr:rowOff>0</xdr:rowOff>
    </xdr:to>
    <xdr:sp macro="" textlink="">
      <xdr:nvSpPr>
        <xdr:cNvPr id="1030" name="Text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6383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Univers 75 Black"/>
            </a:rPr>
            <a:t>Financial Report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Univers 75 Black"/>
            </a:rPr>
            <a:t>Second Liny of Text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32</xdr:col>
      <xdr:colOff>409575</xdr:colOff>
      <xdr:row>3</xdr:row>
      <xdr:rowOff>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ShapeType="1"/>
        </xdr:cNvSpPr>
      </xdr:nvSpPr>
      <xdr:spPr bwMode="auto">
        <a:xfrm flipV="1"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41762</xdr:colOff>
      <xdr:row>139</xdr:row>
      <xdr:rowOff>145148</xdr:rowOff>
    </xdr:from>
    <xdr:to>
      <xdr:col>111</xdr:col>
      <xdr:colOff>22860</xdr:colOff>
      <xdr:row>165</xdr:row>
      <xdr:rowOff>148444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78</xdr:row>
      <xdr:rowOff>0</xdr:rowOff>
    </xdr:from>
    <xdr:to>
      <xdr:col>15</xdr:col>
      <xdr:colOff>0</xdr:colOff>
      <xdr:row>78</xdr:row>
      <xdr:rowOff>0</xdr:rowOff>
    </xdr:to>
    <xdr:sp macro="" textlink="">
      <xdr:nvSpPr>
        <xdr:cNvPr id="24" name="Text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38313" y="773906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Univers 75 Black"/>
            </a:rPr>
            <a:t>Financial Report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Univers 75 Black"/>
            </a:rPr>
            <a:t>Second Liny of Text</a:t>
          </a:r>
        </a:p>
      </xdr:txBody>
    </xdr:sp>
    <xdr:clientData/>
  </xdr:twoCellAnchor>
  <xdr:twoCellAnchor>
    <xdr:from>
      <xdr:col>5</xdr:col>
      <xdr:colOff>0</xdr:colOff>
      <xdr:row>78</xdr:row>
      <xdr:rowOff>0</xdr:rowOff>
    </xdr:from>
    <xdr:to>
      <xdr:col>32</xdr:col>
      <xdr:colOff>409575</xdr:colOff>
      <xdr:row>78</xdr:row>
      <xdr:rowOff>0</xdr:rowOff>
    </xdr:to>
    <xdr:sp macro="" textlink="">
      <xdr:nvSpPr>
        <xdr:cNvPr id="25" name="Line 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 flipV="1">
          <a:off x="1738313" y="77390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138</xdr:row>
      <xdr:rowOff>0</xdr:rowOff>
    </xdr:from>
    <xdr:to>
      <xdr:col>15</xdr:col>
      <xdr:colOff>0</xdr:colOff>
      <xdr:row>138</xdr:row>
      <xdr:rowOff>0</xdr:rowOff>
    </xdr:to>
    <xdr:sp macro="" textlink="">
      <xdr:nvSpPr>
        <xdr:cNvPr id="29" name="Text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38313" y="9644063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Univers 75 Black"/>
            </a:rPr>
            <a:t>Financial Report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Univers 75 Black"/>
            </a:rPr>
            <a:t>Second Liny of Text</a:t>
          </a:r>
        </a:p>
      </xdr:txBody>
    </xdr:sp>
    <xdr:clientData/>
  </xdr:twoCellAnchor>
  <xdr:twoCellAnchor>
    <xdr:from>
      <xdr:col>5</xdr:col>
      <xdr:colOff>0</xdr:colOff>
      <xdr:row>138</xdr:row>
      <xdr:rowOff>0</xdr:rowOff>
    </xdr:from>
    <xdr:to>
      <xdr:col>32</xdr:col>
      <xdr:colOff>409575</xdr:colOff>
      <xdr:row>138</xdr:row>
      <xdr:rowOff>0</xdr:rowOff>
    </xdr:to>
    <xdr:sp macro="" textlink="">
      <xdr:nvSpPr>
        <xdr:cNvPr id="30" name="Line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 flipV="1">
          <a:off x="1738313" y="964406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15302</xdr:colOff>
      <xdr:row>135</xdr:row>
      <xdr:rowOff>43962</xdr:rowOff>
    </xdr:from>
    <xdr:to>
      <xdr:col>111</xdr:col>
      <xdr:colOff>262182</xdr:colOff>
      <xdr:row>135</xdr:row>
      <xdr:rowOff>187524</xdr:rowOff>
    </xdr:to>
    <xdr:grpSp>
      <xdr:nvGrpSpPr>
        <xdr:cNvPr id="36" name="Group 1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 noChangeAspect="1"/>
        </xdr:cNvGrpSpPr>
      </xdr:nvGrpSpPr>
      <xdr:grpSpPr bwMode="auto">
        <a:xfrm>
          <a:off x="15302" y="18322437"/>
          <a:ext cx="7552555" cy="143562"/>
          <a:chOff x="3" y="17"/>
          <a:chExt cx="992" cy="12"/>
        </a:xfrm>
      </xdr:grpSpPr>
      <xdr:pic>
        <xdr:nvPicPr>
          <xdr:cNvPr id="37" name="Picture 12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8" y="17"/>
            <a:ext cx="136" cy="8"/>
          </a:xfrm>
          <a:prstGeom prst="rect">
            <a:avLst/>
          </a:prstGeom>
          <a:noFill/>
        </xdr:spPr>
      </xdr:pic>
      <xdr:sp macro="" textlink="">
        <xdr:nvSpPr>
          <xdr:cNvPr id="38" name="Line 13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3" y="29"/>
            <a:ext cx="992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73572</xdr:colOff>
      <xdr:row>169</xdr:row>
      <xdr:rowOff>99060</xdr:rowOff>
    </xdr:from>
    <xdr:to>
      <xdr:col>111</xdr:col>
      <xdr:colOff>45720</xdr:colOff>
      <xdr:row>192</xdr:row>
      <xdr:rowOff>148442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3572" y="24073485"/>
          <a:ext cx="7277823" cy="3773657"/>
          <a:chOff x="112649" y="23768539"/>
          <a:chExt cx="7338981" cy="3758710"/>
        </a:xfrm>
      </xdr:grpSpPr>
      <xdr:graphicFrame macro="">
        <xdr:nvGraphicFramePr>
          <xdr:cNvPr id="19" name="Chart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GraphicFramePr>
            <a:graphicFrameLocks/>
          </xdr:cNvGraphicFramePr>
        </xdr:nvGraphicFramePr>
        <xdr:xfrm>
          <a:off x="112649" y="23768539"/>
          <a:ext cx="7309522" cy="375871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7268457" y="25915326"/>
            <a:ext cx="183173" cy="1611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Univers LT Std 45 Light" panose="020B0403020202020204" pitchFamily="34" charset="0"/>
              </a:rPr>
              <a:t>1</a:t>
            </a:r>
          </a:p>
        </xdr:txBody>
      </xdr:sp>
    </xdr:grpSp>
    <xdr:clientData/>
  </xdr:twoCellAnchor>
  <xdr:twoCellAnchor editAs="oneCell">
    <xdr:from>
      <xdr:col>0</xdr:col>
      <xdr:colOff>19112</xdr:colOff>
      <xdr:row>0</xdr:row>
      <xdr:rowOff>49384</xdr:rowOff>
    </xdr:from>
    <xdr:to>
      <xdr:col>113</xdr:col>
      <xdr:colOff>305954</xdr:colOff>
      <xdr:row>1</xdr:row>
      <xdr:rowOff>34290</xdr:rowOff>
    </xdr:to>
    <xdr:grpSp>
      <xdr:nvGrpSpPr>
        <xdr:cNvPr id="27" name="Group 1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 noChangeAspect="1"/>
        </xdr:cNvGrpSpPr>
      </xdr:nvGrpSpPr>
      <xdr:grpSpPr bwMode="auto">
        <a:xfrm>
          <a:off x="19112" y="49384"/>
          <a:ext cx="8868867" cy="175406"/>
          <a:chOff x="3" y="17"/>
          <a:chExt cx="992" cy="12"/>
        </a:xfrm>
      </xdr:grpSpPr>
      <xdr:pic>
        <xdr:nvPicPr>
          <xdr:cNvPr id="28" name="Picture 12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8" y="17"/>
            <a:ext cx="136" cy="8"/>
          </a:xfrm>
          <a:prstGeom prst="rect">
            <a:avLst/>
          </a:prstGeom>
          <a:noFill/>
        </xdr:spPr>
      </xdr:pic>
      <xdr:sp macro="" textlink="">
        <xdr:nvSpPr>
          <xdr:cNvPr id="31" name="Line 13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3" y="29"/>
            <a:ext cx="992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oneCellAnchor>
    <xdr:from>
      <xdr:col>0</xdr:col>
      <xdr:colOff>15302</xdr:colOff>
      <xdr:row>75</xdr:row>
      <xdr:rowOff>51289</xdr:rowOff>
    </xdr:from>
    <xdr:ext cx="7590118" cy="137847"/>
    <xdr:grpSp>
      <xdr:nvGrpSpPr>
        <xdr:cNvPr id="21" name="Group 1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>
          <a:grpSpLocks noChangeAspect="1"/>
        </xdr:cNvGrpSpPr>
      </xdr:nvGrpSpPr>
      <xdr:grpSpPr bwMode="auto">
        <a:xfrm>
          <a:off x="15302" y="10243039"/>
          <a:ext cx="7590118" cy="137847"/>
          <a:chOff x="3" y="17"/>
          <a:chExt cx="992" cy="12"/>
        </a:xfrm>
      </xdr:grpSpPr>
      <xdr:pic>
        <xdr:nvPicPr>
          <xdr:cNvPr id="22" name="Picture 12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8" y="17"/>
            <a:ext cx="136" cy="8"/>
          </a:xfrm>
          <a:prstGeom prst="rect">
            <a:avLst/>
          </a:prstGeom>
          <a:noFill/>
        </xdr:spPr>
      </xdr:pic>
      <xdr:sp macro="" textlink="">
        <xdr:nvSpPr>
          <xdr:cNvPr id="23" name="Line 13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3" y="29"/>
            <a:ext cx="992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</xdr:grp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0.33997</cdr:x>
      <cdr:y>0.94468</cdr:y>
    </cdr:from>
    <cdr:to>
      <cdr:x>0.45466</cdr:x>
      <cdr:y>0.98482</cdr:y>
    </cdr:to>
    <cdr:sp macro="" textlink="">
      <cdr:nvSpPr>
        <cdr:cNvPr id="2" name="TextBox 7"/>
        <cdr:cNvSpPr txBox="1"/>
      </cdr:nvSpPr>
      <cdr:spPr>
        <a:xfrm xmlns:a="http://schemas.openxmlformats.org/drawingml/2006/main">
          <a:off x="2611982" y="3933457"/>
          <a:ext cx="881181" cy="1671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>
            <a:alpha val="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 baseline="0">
              <a:latin typeface="Berkeley" pitchFamily="18" charset="0"/>
            </a:rPr>
            <a:t>YEAR</a:t>
          </a:r>
        </a:p>
      </cdr:txBody>
    </cdr:sp>
  </cdr:relSizeAnchor>
  <cdr:relSizeAnchor xmlns:cdr="http://schemas.openxmlformats.org/drawingml/2006/chartDrawing">
    <cdr:from>
      <cdr:x>0.01133</cdr:x>
      <cdr:y>0.31087</cdr:y>
    </cdr:from>
    <cdr:to>
      <cdr:x>0.0297</cdr:x>
      <cdr:y>0.67019</cdr:y>
    </cdr:to>
    <cdr:sp macro="" textlink="">
      <cdr:nvSpPr>
        <cdr:cNvPr id="3" name="TextBox 7"/>
        <cdr:cNvSpPr txBox="1"/>
      </cdr:nvSpPr>
      <cdr:spPr>
        <a:xfrm xmlns:a="http://schemas.openxmlformats.org/drawingml/2006/main" rot="16200000">
          <a:off x="-597132" y="1987407"/>
          <a:ext cx="1507094" cy="14003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>
            <a:alpha val="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 baseline="0">
              <a:latin typeface="Berkeley" pitchFamily="18" charset="0"/>
            </a:rPr>
            <a:t>RACE/ ETHNICITY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0.39857</cdr:x>
      <cdr:y>0.95712</cdr:y>
    </cdr:from>
    <cdr:to>
      <cdr:x>0.5349</cdr:x>
      <cdr:y>1</cdr:y>
    </cdr:to>
    <cdr:sp macro="" textlink="">
      <cdr:nvSpPr>
        <cdr:cNvPr id="2" name="TextBox 7"/>
        <cdr:cNvSpPr txBox="1"/>
      </cdr:nvSpPr>
      <cdr:spPr>
        <a:xfrm xmlns:a="http://schemas.openxmlformats.org/drawingml/2006/main">
          <a:off x="2913370" y="3597520"/>
          <a:ext cx="996497" cy="16119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>
            <a:alpha val="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 baseline="0">
              <a:latin typeface="Berkeley" pitchFamily="18" charset="0"/>
            </a:rPr>
            <a:t>YEAR</a:t>
          </a:r>
        </a:p>
      </cdr:txBody>
    </cdr:sp>
  </cdr:relSizeAnchor>
  <cdr:relSizeAnchor xmlns:cdr="http://schemas.openxmlformats.org/drawingml/2006/chartDrawing">
    <cdr:from>
      <cdr:x>0.01448</cdr:x>
      <cdr:y>0.28497</cdr:y>
    </cdr:from>
    <cdr:to>
      <cdr:x>0.03288</cdr:x>
      <cdr:y>0.68647</cdr:y>
    </cdr:to>
    <cdr:sp macro="" textlink="">
      <cdr:nvSpPr>
        <cdr:cNvPr id="3" name="TextBox 7"/>
        <cdr:cNvSpPr txBox="1"/>
      </cdr:nvSpPr>
      <cdr:spPr>
        <a:xfrm xmlns:a="http://schemas.openxmlformats.org/drawingml/2006/main" rot="16200000">
          <a:off x="-604080" y="1812004"/>
          <a:ext cx="1553248" cy="1340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>
            <a:alpha val="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 baseline="0">
              <a:latin typeface="Berkeley" pitchFamily="18" charset="0"/>
            </a:rPr>
            <a:t>RACE/ ETHNICITY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H219"/>
  <sheetViews>
    <sheetView showGridLines="0" tabSelected="1" view="pageBreakPreview" zoomScaleNormal="130" zoomScaleSheetLayoutView="100" workbookViewId="0">
      <selection activeCell="DJ166" sqref="DJ166"/>
    </sheetView>
  </sheetViews>
  <sheetFormatPr defaultColWidth="11.42578125" defaultRowHeight="12.75"/>
  <cols>
    <col min="1" max="1" width="1.7109375" customWidth="1"/>
    <col min="2" max="4" width="0.7109375" customWidth="1"/>
    <col min="5" max="5" width="25.7109375" customWidth="1"/>
    <col min="6" max="6" width="7.28515625" style="14" hidden="1" customWidth="1"/>
    <col min="7" max="7" width="5.7109375" style="9" hidden="1" customWidth="1"/>
    <col min="8" max="8" width="1.7109375" style="3" hidden="1" customWidth="1"/>
    <col min="9" max="9" width="7.28515625" style="14" hidden="1" customWidth="1"/>
    <col min="10" max="10" width="5.7109375" style="9" hidden="1" customWidth="1"/>
    <col min="11" max="11" width="1.7109375" style="3" hidden="1" customWidth="1"/>
    <col min="12" max="12" width="7.28515625" style="14" hidden="1" customWidth="1"/>
    <col min="13" max="13" width="5.7109375" style="9" hidden="1" customWidth="1"/>
    <col min="14" max="14" width="1.7109375" style="8" hidden="1" customWidth="1"/>
    <col min="15" max="15" width="7.28515625" style="14" hidden="1" customWidth="1"/>
    <col min="16" max="16" width="5.7109375" style="9" hidden="1" customWidth="1"/>
    <col min="17" max="17" width="1.42578125" style="9" hidden="1" customWidth="1"/>
    <col min="18" max="18" width="7.28515625" hidden="1" customWidth="1"/>
    <col min="19" max="19" width="5.7109375" hidden="1" customWidth="1"/>
    <col min="20" max="20" width="1.42578125" style="9" hidden="1" customWidth="1"/>
    <col min="21" max="21" width="7.28515625" hidden="1" customWidth="1"/>
    <col min="22" max="22" width="5.7109375" hidden="1" customWidth="1"/>
    <col min="23" max="23" width="1.7109375" style="9" hidden="1" customWidth="1"/>
    <col min="24" max="24" width="7.28515625" hidden="1" customWidth="1"/>
    <col min="25" max="25" width="5.7109375" hidden="1" customWidth="1"/>
    <col min="26" max="26" width="1.7109375" style="9" hidden="1" customWidth="1"/>
    <col min="27" max="27" width="7.28515625" hidden="1" customWidth="1"/>
    <col min="28" max="28" width="5.7109375" hidden="1" customWidth="1"/>
    <col min="29" max="29" width="1.7109375" style="9" hidden="1" customWidth="1"/>
    <col min="30" max="30" width="7.28515625" hidden="1" customWidth="1"/>
    <col min="31" max="31" width="5.7109375" hidden="1" customWidth="1"/>
    <col min="32" max="32" width="1.7109375" style="9" hidden="1" customWidth="1"/>
    <col min="33" max="33" width="7.28515625" hidden="1" customWidth="1"/>
    <col min="34" max="34" width="5.7109375" hidden="1" customWidth="1"/>
    <col min="35" max="35" width="1.7109375" style="9" hidden="1" customWidth="1"/>
    <col min="36" max="36" width="7.28515625" hidden="1" customWidth="1"/>
    <col min="37" max="37" width="5.7109375" hidden="1" customWidth="1"/>
    <col min="38" max="38" width="1.7109375" style="9" hidden="1" customWidth="1"/>
    <col min="39" max="39" width="7.28515625" hidden="1" customWidth="1"/>
    <col min="40" max="40" width="5.7109375" hidden="1" customWidth="1"/>
    <col min="41" max="41" width="1.7109375" hidden="1" customWidth="1"/>
    <col min="42" max="42" width="7.28515625" hidden="1" customWidth="1"/>
    <col min="43" max="43" width="5.7109375" hidden="1" customWidth="1"/>
    <col min="44" max="44" width="1.7109375" hidden="1" customWidth="1"/>
    <col min="45" max="45" width="7.28515625" hidden="1" customWidth="1"/>
    <col min="46" max="46" width="5.7109375" hidden="1" customWidth="1"/>
    <col min="47" max="47" width="1.7109375" hidden="1" customWidth="1"/>
    <col min="48" max="48" width="7.28515625" hidden="1" customWidth="1"/>
    <col min="49" max="49" width="5.7109375" hidden="1" customWidth="1"/>
    <col min="50" max="50" width="1.7109375" hidden="1" customWidth="1"/>
    <col min="51" max="51" width="7.28515625" hidden="1" customWidth="1"/>
    <col min="52" max="52" width="5.7109375" hidden="1" customWidth="1"/>
    <col min="53" max="53" width="1.7109375" hidden="1" customWidth="1"/>
    <col min="54" max="54" width="7.28515625" hidden="1" customWidth="1"/>
    <col min="55" max="55" width="5.7109375" hidden="1" customWidth="1"/>
    <col min="56" max="56" width="1.7109375" hidden="1" customWidth="1"/>
    <col min="57" max="57" width="7.28515625" hidden="1" customWidth="1"/>
    <col min="58" max="58" width="5.7109375" hidden="1" customWidth="1"/>
    <col min="59" max="59" width="1.7109375" hidden="1" customWidth="1"/>
    <col min="60" max="60" width="7.28515625" hidden="1" customWidth="1"/>
    <col min="61" max="61" width="5.7109375" hidden="1" customWidth="1"/>
    <col min="62" max="62" width="1.7109375" hidden="1" customWidth="1"/>
    <col min="63" max="63" width="7.28515625" hidden="1" customWidth="1"/>
    <col min="64" max="64" width="5.7109375" hidden="1" customWidth="1"/>
    <col min="65" max="65" width="1.7109375" hidden="1" customWidth="1"/>
    <col min="66" max="66" width="7.28515625" hidden="1" customWidth="1"/>
    <col min="67" max="67" width="5.7109375" hidden="1" customWidth="1"/>
    <col min="68" max="68" width="1.7109375" hidden="1" customWidth="1"/>
    <col min="69" max="69" width="7.28515625" hidden="1" customWidth="1"/>
    <col min="70" max="70" width="5.7109375" hidden="1" customWidth="1"/>
    <col min="71" max="71" width="1.7109375" hidden="1" customWidth="1"/>
    <col min="72" max="72" width="7.28515625" hidden="1" customWidth="1"/>
    <col min="73" max="73" width="5.7109375" hidden="1" customWidth="1"/>
    <col min="74" max="74" width="1.7109375" hidden="1" customWidth="1"/>
    <col min="75" max="75" width="8.7109375" hidden="1" customWidth="1"/>
    <col min="76" max="76" width="7.28515625" hidden="1" customWidth="1"/>
    <col min="77" max="77" width="1.7109375" hidden="1" customWidth="1"/>
    <col min="78" max="78" width="8.7109375" hidden="1" customWidth="1"/>
    <col min="79" max="79" width="7.28515625" hidden="1" customWidth="1"/>
    <col min="80" max="80" width="1.7109375" hidden="1" customWidth="1"/>
    <col min="81" max="81" width="8.7109375" hidden="1" customWidth="1"/>
    <col min="82" max="82" width="7.28515625" hidden="1" customWidth="1"/>
    <col min="83" max="83" width="1.7109375" hidden="1" customWidth="1"/>
    <col min="84" max="84" width="8.7109375" hidden="1" customWidth="1"/>
    <col min="85" max="85" width="7.28515625" hidden="1" customWidth="1"/>
    <col min="86" max="86" width="1.7109375" hidden="1" customWidth="1"/>
    <col min="87" max="87" width="8.7109375" hidden="1" customWidth="1"/>
    <col min="88" max="88" width="6.7109375" hidden="1" customWidth="1"/>
    <col min="89" max="89" width="1.7109375" hidden="1" customWidth="1"/>
    <col min="90" max="90" width="8.7109375" hidden="1" customWidth="1"/>
    <col min="91" max="91" width="6.7109375" hidden="1" customWidth="1"/>
    <col min="92" max="92" width="1.7109375" hidden="1" customWidth="1"/>
    <col min="93" max="93" width="8.7109375" hidden="1" customWidth="1"/>
    <col min="94" max="94" width="6.7109375" hidden="1" customWidth="1"/>
    <col min="95" max="95" width="1.7109375" hidden="1" customWidth="1"/>
    <col min="96" max="96" width="8.7109375" hidden="1" customWidth="1"/>
    <col min="97" max="97" width="6.7109375" hidden="1" customWidth="1"/>
    <col min="98" max="98" width="1.7109375" hidden="1" customWidth="1"/>
    <col min="99" max="99" width="8.7109375" customWidth="1"/>
    <col min="100" max="100" width="6.7109375" customWidth="1"/>
    <col min="101" max="101" width="1.7109375" customWidth="1"/>
    <col min="102" max="103" width="8.7109375" customWidth="1"/>
    <col min="104" max="104" width="1.28515625" customWidth="1"/>
    <col min="105" max="105" width="8.7109375" customWidth="1"/>
    <col min="106" max="106" width="7.7109375" customWidth="1"/>
    <col min="107" max="107" width="1.28515625" customWidth="1"/>
    <col min="108" max="108" width="8.7109375" customWidth="1"/>
    <col min="109" max="109" width="7.7109375" customWidth="1"/>
    <col min="110" max="110" width="1.28515625" customWidth="1"/>
    <col min="111" max="111" width="8.7109375" customWidth="1"/>
    <col min="112" max="112" width="7.7109375" customWidth="1"/>
  </cols>
  <sheetData>
    <row r="1" spans="1:112" s="17" customFormat="1" ht="15" customHeight="1">
      <c r="A1" s="17" t="s">
        <v>0</v>
      </c>
    </row>
    <row r="2" spans="1:112" s="15" customFormat="1" ht="21.6" customHeight="1">
      <c r="A2" s="75" t="s">
        <v>84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</row>
    <row r="3" spans="1:112" s="45" customFormat="1" ht="15" customHeight="1">
      <c r="A3" s="72" t="s">
        <v>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</row>
    <row r="4" spans="1:112" s="2" customFormat="1" ht="12" customHeight="1">
      <c r="A4" s="16"/>
      <c r="B4" s="16"/>
      <c r="C4" s="16"/>
      <c r="D4" s="16"/>
      <c r="E4" s="16"/>
      <c r="F4" s="12"/>
      <c r="G4" s="11"/>
      <c r="H4" s="3"/>
      <c r="I4" s="12"/>
      <c r="J4" s="11"/>
      <c r="K4" s="5"/>
      <c r="L4" s="12"/>
      <c r="M4" s="11"/>
      <c r="N4" s="6"/>
      <c r="O4" s="12"/>
      <c r="P4" s="11"/>
      <c r="Q4" s="11"/>
      <c r="T4" s="11"/>
      <c r="W4" s="11"/>
      <c r="Z4" s="11"/>
      <c r="AC4" s="11"/>
      <c r="AF4" s="11"/>
      <c r="AI4" s="11"/>
      <c r="AL4" s="11"/>
    </row>
    <row r="5" spans="1:112" s="43" customFormat="1" ht="12" customHeight="1">
      <c r="A5" s="42"/>
      <c r="B5" s="42"/>
      <c r="C5" s="42"/>
      <c r="D5" s="42"/>
      <c r="E5" s="42"/>
      <c r="F5" s="42" t="s">
        <v>21</v>
      </c>
      <c r="G5" s="42"/>
      <c r="I5" s="42" t="s">
        <v>20</v>
      </c>
      <c r="J5" s="42"/>
      <c r="L5" s="42" t="s">
        <v>19</v>
      </c>
      <c r="M5" s="42"/>
      <c r="O5" s="42" t="s">
        <v>18</v>
      </c>
      <c r="P5" s="42"/>
      <c r="R5" s="42" t="s">
        <v>12</v>
      </c>
      <c r="S5" s="42"/>
      <c r="U5" s="42" t="s">
        <v>17</v>
      </c>
      <c r="V5" s="42"/>
      <c r="X5" s="42" t="s">
        <v>16</v>
      </c>
      <c r="Y5" s="42"/>
      <c r="AA5" s="42" t="s">
        <v>15</v>
      </c>
      <c r="AB5" s="42"/>
      <c r="AD5" s="42" t="s">
        <v>14</v>
      </c>
      <c r="AE5" s="42"/>
      <c r="AG5" s="42" t="s">
        <v>13</v>
      </c>
      <c r="AH5" s="42"/>
      <c r="AJ5" s="42" t="s">
        <v>22</v>
      </c>
      <c r="AK5" s="42"/>
      <c r="AM5" s="42" t="s">
        <v>24</v>
      </c>
      <c r="AN5" s="42"/>
      <c r="AP5" s="122" t="s">
        <v>25</v>
      </c>
      <c r="AQ5" s="122"/>
      <c r="AS5" s="122" t="s">
        <v>26</v>
      </c>
      <c r="AT5" s="122"/>
      <c r="AV5" s="122" t="s">
        <v>27</v>
      </c>
      <c r="AW5" s="122"/>
      <c r="AY5" s="124" t="s">
        <v>46</v>
      </c>
      <c r="AZ5" s="124"/>
      <c r="BB5" s="122" t="s">
        <v>28</v>
      </c>
      <c r="BC5" s="122"/>
      <c r="BE5" s="122" t="s">
        <v>29</v>
      </c>
      <c r="BF5" s="122"/>
      <c r="BH5" s="122" t="s">
        <v>30</v>
      </c>
      <c r="BI5" s="122"/>
      <c r="BK5" s="122" t="s">
        <v>31</v>
      </c>
      <c r="BL5" s="122"/>
      <c r="BN5" s="122" t="s">
        <v>35</v>
      </c>
      <c r="BO5" s="122"/>
      <c r="BQ5" s="122" t="s">
        <v>36</v>
      </c>
      <c r="BR5" s="122"/>
      <c r="BT5" s="122" t="s">
        <v>37</v>
      </c>
      <c r="BU5" s="122"/>
      <c r="BW5" s="117" t="s">
        <v>47</v>
      </c>
      <c r="BX5" s="117"/>
      <c r="BZ5" s="117" t="s">
        <v>48</v>
      </c>
      <c r="CA5" s="117"/>
      <c r="CC5" s="117" t="s">
        <v>49</v>
      </c>
      <c r="CD5" s="117"/>
      <c r="CF5" s="117" t="s">
        <v>50</v>
      </c>
      <c r="CG5" s="117"/>
      <c r="CI5" s="117" t="s">
        <v>51</v>
      </c>
      <c r="CJ5" s="117"/>
      <c r="CL5" s="117" t="s">
        <v>56</v>
      </c>
      <c r="CM5" s="117"/>
      <c r="CO5" s="128" t="s">
        <v>65</v>
      </c>
      <c r="CP5" s="117"/>
      <c r="CR5" s="117" t="s">
        <v>70</v>
      </c>
      <c r="CS5" s="117"/>
      <c r="CU5" s="117" t="s">
        <v>79</v>
      </c>
      <c r="CV5" s="117"/>
      <c r="CX5" s="43" t="s">
        <v>81</v>
      </c>
      <c r="DA5" s="43" t="s">
        <v>82</v>
      </c>
      <c r="DD5" s="43" t="s">
        <v>83</v>
      </c>
      <c r="DG5" s="43" t="s">
        <v>90</v>
      </c>
    </row>
    <row r="6" spans="1:112" s="71" customFormat="1" ht="12" customHeight="1">
      <c r="A6" s="66" t="s">
        <v>85</v>
      </c>
      <c r="B6" s="66"/>
      <c r="C6" s="66"/>
      <c r="D6" s="66"/>
      <c r="E6" s="66"/>
      <c r="F6" s="67" t="s">
        <v>1</v>
      </c>
      <c r="G6" s="68" t="s">
        <v>2</v>
      </c>
      <c r="H6" s="69"/>
      <c r="I6" s="67" t="s">
        <v>1</v>
      </c>
      <c r="J6" s="68" t="s">
        <v>2</v>
      </c>
      <c r="K6" s="69"/>
      <c r="L6" s="67" t="s">
        <v>1</v>
      </c>
      <c r="M6" s="68" t="s">
        <v>2</v>
      </c>
      <c r="N6" s="70"/>
      <c r="O6" s="67" t="s">
        <v>1</v>
      </c>
      <c r="P6" s="68" t="s">
        <v>2</v>
      </c>
      <c r="Q6" s="70"/>
      <c r="R6" s="67" t="s">
        <v>1</v>
      </c>
      <c r="S6" s="68" t="s">
        <v>2</v>
      </c>
      <c r="T6" s="70"/>
      <c r="U6" s="67" t="s">
        <v>1</v>
      </c>
      <c r="V6" s="68" t="s">
        <v>2</v>
      </c>
      <c r="W6" s="70"/>
      <c r="X6" s="67" t="s">
        <v>1</v>
      </c>
      <c r="Y6" s="68" t="s">
        <v>2</v>
      </c>
      <c r="Z6" s="70"/>
      <c r="AA6" s="67" t="s">
        <v>1</v>
      </c>
      <c r="AB6" s="68" t="s">
        <v>2</v>
      </c>
      <c r="AC6" s="70"/>
      <c r="AD6" s="67" t="s">
        <v>1</v>
      </c>
      <c r="AE6" s="68" t="s">
        <v>2</v>
      </c>
      <c r="AF6" s="70"/>
      <c r="AG6" s="67" t="s">
        <v>1</v>
      </c>
      <c r="AH6" s="68" t="s">
        <v>2</v>
      </c>
      <c r="AI6" s="70"/>
      <c r="AJ6" s="67" t="s">
        <v>1</v>
      </c>
      <c r="AK6" s="68" t="s">
        <v>2</v>
      </c>
      <c r="AL6" s="70"/>
      <c r="AM6" s="67" t="s">
        <v>1</v>
      </c>
      <c r="AN6" s="68" t="s">
        <v>2</v>
      </c>
      <c r="AO6" s="66"/>
      <c r="AP6" s="67" t="s">
        <v>1</v>
      </c>
      <c r="AQ6" s="68" t="s">
        <v>2</v>
      </c>
      <c r="AR6" s="66"/>
      <c r="AS6" s="67" t="s">
        <v>1</v>
      </c>
      <c r="AT6" s="68" t="s">
        <v>2</v>
      </c>
      <c r="AU6" s="66"/>
      <c r="AV6" s="67" t="s">
        <v>1</v>
      </c>
      <c r="AW6" s="68" t="s">
        <v>2</v>
      </c>
      <c r="AX6" s="66"/>
      <c r="AY6" s="67" t="s">
        <v>1</v>
      </c>
      <c r="AZ6" s="68" t="s">
        <v>2</v>
      </c>
      <c r="BA6" s="66"/>
      <c r="BB6" s="67" t="s">
        <v>1</v>
      </c>
      <c r="BC6" s="68" t="s">
        <v>2</v>
      </c>
      <c r="BD6" s="66"/>
      <c r="BE6" s="67" t="s">
        <v>1</v>
      </c>
      <c r="BF6" s="68" t="s">
        <v>2</v>
      </c>
      <c r="BG6" s="66"/>
      <c r="BH6" s="67" t="s">
        <v>1</v>
      </c>
      <c r="BI6" s="68" t="s">
        <v>2</v>
      </c>
      <c r="BJ6" s="66"/>
      <c r="BK6" s="67" t="s">
        <v>1</v>
      </c>
      <c r="BL6" s="68" t="s">
        <v>2</v>
      </c>
      <c r="BM6" s="66"/>
      <c r="BN6" s="67" t="s">
        <v>1</v>
      </c>
      <c r="BO6" s="68" t="s">
        <v>2</v>
      </c>
      <c r="BP6" s="66"/>
      <c r="BQ6" s="67" t="s">
        <v>1</v>
      </c>
      <c r="BR6" s="68" t="s">
        <v>2</v>
      </c>
      <c r="BS6" s="66"/>
      <c r="BT6" s="67" t="s">
        <v>1</v>
      </c>
      <c r="BU6" s="68" t="s">
        <v>2</v>
      </c>
      <c r="BV6" s="66"/>
      <c r="BW6" s="67" t="s">
        <v>1</v>
      </c>
      <c r="BX6" s="68" t="s">
        <v>2</v>
      </c>
      <c r="BY6" s="66"/>
      <c r="BZ6" s="67" t="s">
        <v>1</v>
      </c>
      <c r="CA6" s="68" t="s">
        <v>2</v>
      </c>
      <c r="CB6" s="66"/>
      <c r="CC6" s="67" t="s">
        <v>1</v>
      </c>
      <c r="CD6" s="68" t="s">
        <v>2</v>
      </c>
      <c r="CE6" s="66"/>
      <c r="CF6" s="67" t="s">
        <v>1</v>
      </c>
      <c r="CG6" s="68" t="s">
        <v>2</v>
      </c>
      <c r="CH6" s="66"/>
      <c r="CI6" s="67" t="s">
        <v>1</v>
      </c>
      <c r="CJ6" s="68" t="s">
        <v>2</v>
      </c>
      <c r="CK6" s="66"/>
      <c r="CL6" s="67" t="s">
        <v>1</v>
      </c>
      <c r="CM6" s="68" t="s">
        <v>2</v>
      </c>
      <c r="CN6" s="66"/>
      <c r="CO6" s="80" t="s">
        <v>1</v>
      </c>
      <c r="CP6" s="68" t="s">
        <v>2</v>
      </c>
      <c r="CQ6" s="66"/>
      <c r="CR6" s="67" t="s">
        <v>1</v>
      </c>
      <c r="CS6" s="68" t="s">
        <v>2</v>
      </c>
      <c r="CT6" s="66"/>
      <c r="CU6" s="67" t="s">
        <v>1</v>
      </c>
      <c r="CV6" s="68" t="s">
        <v>2</v>
      </c>
      <c r="CW6" s="66"/>
      <c r="CX6" s="67" t="s">
        <v>1</v>
      </c>
      <c r="CY6" s="68" t="s">
        <v>2</v>
      </c>
      <c r="CZ6" s="67"/>
      <c r="DA6" s="67" t="s">
        <v>1</v>
      </c>
      <c r="DB6" s="68" t="s">
        <v>2</v>
      </c>
      <c r="DC6" s="67"/>
      <c r="DD6" s="67" t="s">
        <v>1</v>
      </c>
      <c r="DE6" s="68" t="s">
        <v>2</v>
      </c>
      <c r="DF6" s="67"/>
      <c r="DG6" s="67" t="s">
        <v>1</v>
      </c>
      <c r="DH6" s="68" t="s">
        <v>2</v>
      </c>
    </row>
    <row r="7" spans="1:112" s="50" customFormat="1" ht="15.75" customHeight="1">
      <c r="A7" s="120" t="s">
        <v>7</v>
      </c>
      <c r="B7" s="120"/>
      <c r="C7" s="120"/>
      <c r="D7" s="120"/>
      <c r="E7" s="120"/>
      <c r="F7" s="46"/>
      <c r="G7" s="47"/>
      <c r="H7" s="46"/>
      <c r="I7" s="46"/>
      <c r="J7" s="47"/>
      <c r="K7" s="48"/>
      <c r="L7" s="46"/>
      <c r="M7" s="47"/>
      <c r="N7" s="49"/>
      <c r="O7" s="46"/>
      <c r="P7" s="47"/>
      <c r="Q7" s="49"/>
      <c r="R7" s="46"/>
      <c r="S7" s="47"/>
      <c r="T7" s="49"/>
      <c r="U7" s="46"/>
      <c r="V7" s="47"/>
      <c r="W7" s="49"/>
      <c r="X7" s="46"/>
      <c r="Y7" s="47"/>
      <c r="Z7" s="49"/>
      <c r="AA7" s="46"/>
      <c r="AB7" s="47"/>
      <c r="AC7" s="49"/>
      <c r="AD7" s="46"/>
      <c r="AE7" s="47"/>
      <c r="AF7" s="49"/>
      <c r="AG7" s="46"/>
      <c r="AH7" s="47"/>
      <c r="AI7" s="49"/>
      <c r="AJ7" s="46"/>
      <c r="AK7" s="47"/>
      <c r="AL7" s="49"/>
      <c r="AM7" s="46"/>
      <c r="AN7" s="47"/>
      <c r="AP7" s="46"/>
      <c r="AQ7" s="47"/>
      <c r="AS7" s="46"/>
      <c r="AT7" s="47"/>
      <c r="AV7" s="46"/>
      <c r="AW7" s="47"/>
      <c r="AY7" s="46"/>
      <c r="AZ7" s="47"/>
      <c r="BB7" s="46"/>
      <c r="BC7" s="47"/>
      <c r="BE7" s="46"/>
      <c r="BF7" s="47"/>
      <c r="BH7" s="46"/>
      <c r="BI7" s="47"/>
      <c r="BK7" s="46"/>
      <c r="BL7" s="47"/>
      <c r="BN7" s="46"/>
      <c r="BO7" s="47"/>
      <c r="BQ7" s="46"/>
      <c r="BR7" s="47"/>
      <c r="BT7" s="46"/>
      <c r="BU7" s="47"/>
      <c r="BW7" s="46"/>
      <c r="BX7" s="47"/>
      <c r="BZ7" s="46"/>
      <c r="CA7" s="47"/>
      <c r="CC7" s="46"/>
      <c r="CD7" s="47"/>
      <c r="CF7" s="46"/>
      <c r="CG7" s="47"/>
      <c r="CI7" s="46"/>
      <c r="CJ7" s="47"/>
      <c r="CL7" s="46"/>
      <c r="CM7" s="47"/>
      <c r="CO7" s="81"/>
      <c r="CP7" s="47"/>
      <c r="CR7" s="46"/>
      <c r="CS7" s="47"/>
      <c r="CU7" s="46"/>
      <c r="CV7" s="47"/>
      <c r="CX7" s="46"/>
      <c r="CY7" s="47"/>
      <c r="CZ7" s="46"/>
      <c r="DA7" s="46"/>
      <c r="DC7" s="46"/>
      <c r="DD7" s="46"/>
      <c r="DF7" s="46"/>
      <c r="DG7" s="46"/>
    </row>
    <row r="8" spans="1:112" s="44" customFormat="1" ht="15" customHeight="1">
      <c r="A8" s="121" t="s">
        <v>3</v>
      </c>
      <c r="B8" s="121"/>
      <c r="C8" s="121"/>
      <c r="D8" s="121"/>
      <c r="E8" s="121"/>
      <c r="F8" s="51">
        <f>SUM(F16:F17)</f>
        <v>1195</v>
      </c>
      <c r="G8" s="52"/>
      <c r="H8" s="51"/>
      <c r="I8" s="51">
        <f>SUM(I16:I17)</f>
        <v>1180</v>
      </c>
      <c r="J8" s="52"/>
      <c r="K8" s="53"/>
      <c r="L8" s="51">
        <f>SUM(L16:L17)</f>
        <v>1177</v>
      </c>
      <c r="M8" s="52"/>
      <c r="N8" s="54"/>
      <c r="O8" s="51">
        <f>SUM(O16:O17)</f>
        <v>1191</v>
      </c>
      <c r="P8" s="52"/>
      <c r="Q8" s="54"/>
      <c r="R8" s="51">
        <f>SUM(R16:R17)</f>
        <v>1198</v>
      </c>
      <c r="S8" s="52"/>
      <c r="T8" s="54"/>
      <c r="U8" s="51">
        <f>SUM(U16:U17)</f>
        <v>1210</v>
      </c>
      <c r="V8" s="52"/>
      <c r="W8" s="54"/>
      <c r="X8" s="51">
        <f>SUM(X16:X17)</f>
        <v>1196</v>
      </c>
      <c r="Y8" s="52"/>
      <c r="Z8" s="54"/>
      <c r="AA8" s="51">
        <f>SUM(AA16:AA17)</f>
        <v>1162</v>
      </c>
      <c r="AB8" s="52"/>
      <c r="AC8" s="54"/>
      <c r="AD8" s="51">
        <f>SUM(AD16:AD17)</f>
        <v>1163</v>
      </c>
      <c r="AE8" s="52"/>
      <c r="AF8" s="54"/>
      <c r="AG8" s="51">
        <f>SUM(AG16:AG17)</f>
        <v>1114</v>
      </c>
      <c r="AH8" s="52"/>
      <c r="AI8" s="54"/>
      <c r="AJ8" s="51">
        <f>SUM(AJ16:AJ17)</f>
        <v>1077</v>
      </c>
      <c r="AK8" s="52"/>
      <c r="AL8" s="54"/>
      <c r="AM8" s="51">
        <f>SUM(AM16:AM17)</f>
        <v>1059</v>
      </c>
      <c r="AN8" s="52"/>
      <c r="AO8" s="55"/>
      <c r="AP8" s="51">
        <f>SUM(AP16:AP17)</f>
        <v>1020</v>
      </c>
      <c r="AQ8" s="52"/>
      <c r="AR8" s="55"/>
      <c r="AS8" s="51">
        <f>SUM(AS16:AS17)</f>
        <v>1007</v>
      </c>
      <c r="AT8" s="52"/>
      <c r="AU8" s="55"/>
      <c r="AV8" s="51">
        <f>SUM(AV16:AV17)</f>
        <v>978</v>
      </c>
      <c r="AW8" s="52"/>
      <c r="AX8" s="55"/>
      <c r="AY8" s="51">
        <f>SUM(AY16:AY17)</f>
        <v>998</v>
      </c>
      <c r="AZ8" s="52"/>
      <c r="BA8" s="55"/>
      <c r="BB8" s="51">
        <f>SUM(BB16:BB17)</f>
        <v>985</v>
      </c>
      <c r="BC8" s="52"/>
      <c r="BD8" s="55"/>
      <c r="BE8" s="51">
        <f>SUM(BE16:BE17)</f>
        <v>984</v>
      </c>
      <c r="BF8" s="52"/>
      <c r="BG8" s="55"/>
      <c r="BH8" s="51">
        <f>SUM(BH16:BH17)</f>
        <v>987</v>
      </c>
      <c r="BI8" s="52"/>
      <c r="BJ8" s="55"/>
      <c r="BK8" s="51">
        <f>SUM(BK16:BK17)</f>
        <v>1018</v>
      </c>
      <c r="BL8" s="52"/>
      <c r="BM8" s="55"/>
      <c r="BN8" s="51">
        <f>SUM(BN16:BN17)</f>
        <v>1008</v>
      </c>
      <c r="BO8" s="52"/>
      <c r="BP8" s="55"/>
      <c r="BQ8" s="51">
        <f>SUM(BQ16:BQ17)</f>
        <v>1007</v>
      </c>
      <c r="BR8" s="52"/>
      <c r="BS8" s="55"/>
      <c r="BT8" s="51">
        <f>SUM(BT16:BT17)</f>
        <v>1028</v>
      </c>
      <c r="BU8" s="52"/>
      <c r="BV8" s="55"/>
      <c r="BW8" s="61">
        <f>SUM(BW16:BW17)</f>
        <v>1013</v>
      </c>
      <c r="BX8" s="62"/>
      <c r="BY8" s="60"/>
      <c r="BZ8" s="61">
        <f>SUM(BZ16:BZ17)</f>
        <v>1003</v>
      </c>
      <c r="CA8" s="62"/>
      <c r="CB8" s="60"/>
      <c r="CC8" s="61">
        <f>SUM(CC16:CC17)</f>
        <v>1020</v>
      </c>
      <c r="CD8" s="62"/>
      <c r="CE8" s="60"/>
      <c r="CF8" s="61">
        <f>SUM(CF16:CF17)</f>
        <v>997</v>
      </c>
      <c r="CG8" s="62"/>
      <c r="CH8" s="60"/>
      <c r="CI8" s="61">
        <f>SUM(CI17,CI9:CI14)</f>
        <v>979</v>
      </c>
      <c r="CJ8" s="52"/>
      <c r="CK8" s="60"/>
      <c r="CL8" s="61">
        <f>CL9+CL10+CL11+CL12+CL13+CL14+CL17</f>
        <v>986</v>
      </c>
      <c r="CM8" s="52"/>
      <c r="CN8" s="60"/>
      <c r="CO8" s="82">
        <f>CO16+CO17+CO18</f>
        <v>966</v>
      </c>
      <c r="CP8" s="52"/>
      <c r="CQ8" s="60"/>
      <c r="CR8" s="61">
        <f>CR16+CR17+CR18</f>
        <v>981</v>
      </c>
      <c r="CS8" s="52"/>
      <c r="CT8" s="60"/>
      <c r="CU8" s="61">
        <f>CU16+CU17+CU18</f>
        <v>963</v>
      </c>
      <c r="CV8" s="52"/>
      <c r="CW8" s="60"/>
      <c r="CX8" s="61">
        <f>CX16+CX17+CX18</f>
        <v>953</v>
      </c>
      <c r="CY8" s="52"/>
      <c r="CZ8" s="61"/>
      <c r="DA8" s="61">
        <f>DA16+DA17+DA18</f>
        <v>933</v>
      </c>
      <c r="DB8" s="52"/>
      <c r="DC8" s="61"/>
      <c r="DD8" s="61">
        <f>DD16+DD17+DD18</f>
        <v>906</v>
      </c>
      <c r="DE8" s="52"/>
      <c r="DF8" s="61"/>
      <c r="DG8" s="61">
        <f>DG16+DG17+DG18</f>
        <v>897</v>
      </c>
      <c r="DH8" s="52"/>
    </row>
    <row r="9" spans="1:112" s="27" customFormat="1" ht="10.15" customHeight="1">
      <c r="A9" s="22"/>
      <c r="B9" s="116" t="s">
        <v>55</v>
      </c>
      <c r="C9" s="116"/>
      <c r="D9" s="116"/>
      <c r="E9" s="116"/>
      <c r="F9" s="23">
        <v>5</v>
      </c>
      <c r="G9" s="24">
        <f>(F9/F8)</f>
        <v>4.1841004184100415E-3</v>
      </c>
      <c r="H9" s="23" t="s">
        <v>0</v>
      </c>
      <c r="I9" s="23">
        <v>4</v>
      </c>
      <c r="J9" s="24">
        <f>(I9/I8)</f>
        <v>3.3898305084745762E-3</v>
      </c>
      <c r="K9" s="25"/>
      <c r="L9" s="23">
        <v>5</v>
      </c>
      <c r="M9" s="24">
        <f>(L9/L8)</f>
        <v>4.248088360237893E-3</v>
      </c>
      <c r="N9" s="26"/>
      <c r="O9" s="23">
        <v>6</v>
      </c>
      <c r="P9" s="24">
        <f>(O9/O8)</f>
        <v>5.0377833753148613E-3</v>
      </c>
      <c r="Q9" s="26"/>
      <c r="R9" s="23">
        <v>7</v>
      </c>
      <c r="S9" s="24">
        <f>(R9/R8)</f>
        <v>5.8430717863105176E-3</v>
      </c>
      <c r="T9" s="26"/>
      <c r="U9" s="23">
        <v>10</v>
      </c>
      <c r="V9" s="24">
        <f>(U9/U8)</f>
        <v>8.2644628099173556E-3</v>
      </c>
      <c r="W9" s="26"/>
      <c r="X9" s="23">
        <v>10</v>
      </c>
      <c r="Y9" s="24">
        <f>(X9/X8)</f>
        <v>8.3612040133779261E-3</v>
      </c>
      <c r="Z9" s="26"/>
      <c r="AA9" s="23">
        <v>10</v>
      </c>
      <c r="AB9" s="24">
        <f>(AA9/AA8)</f>
        <v>8.6058519793459545E-3</v>
      </c>
      <c r="AC9" s="26"/>
      <c r="AD9" s="23">
        <v>11</v>
      </c>
      <c r="AE9" s="24">
        <f>(AD9/AD8)</f>
        <v>9.4582975064488387E-3</v>
      </c>
      <c r="AF9" s="26"/>
      <c r="AG9" s="23">
        <v>11</v>
      </c>
      <c r="AH9" s="24">
        <f>(AG9/AG8)</f>
        <v>9.8743267504488325E-3</v>
      </c>
      <c r="AI9" s="26"/>
      <c r="AJ9" s="23">
        <v>14</v>
      </c>
      <c r="AK9" s="24">
        <f>(AJ9/AJ8)</f>
        <v>1.2999071494893221E-2</v>
      </c>
      <c r="AL9" s="26"/>
      <c r="AM9" s="23">
        <v>19</v>
      </c>
      <c r="AN9" s="24">
        <f>(AM9/AM8)</f>
        <v>1.794145420207743E-2</v>
      </c>
      <c r="AO9" s="22"/>
      <c r="AP9" s="23">
        <v>16</v>
      </c>
      <c r="AQ9" s="24">
        <f>(AP9/AP8)</f>
        <v>1.5686274509803921E-2</v>
      </c>
      <c r="AR9" s="22"/>
      <c r="AS9" s="23">
        <v>14</v>
      </c>
      <c r="AT9" s="24">
        <f>(AS9/AS8)</f>
        <v>1.3902681231380337E-2</v>
      </c>
      <c r="AU9" s="22"/>
      <c r="AV9" s="23">
        <v>16</v>
      </c>
      <c r="AW9" s="24">
        <f>(AV9/AV8)</f>
        <v>1.6359918200408999E-2</v>
      </c>
      <c r="AX9" s="22"/>
      <c r="AY9" s="23">
        <v>13</v>
      </c>
      <c r="AZ9" s="24">
        <f>(AY9/AY8)</f>
        <v>1.3026052104208416E-2</v>
      </c>
      <c r="BA9" s="22"/>
      <c r="BB9" s="23">
        <v>14</v>
      </c>
      <c r="BC9" s="24">
        <f>(BB9/BB8)</f>
        <v>1.4213197969543147E-2</v>
      </c>
      <c r="BD9" s="22"/>
      <c r="BE9" s="23">
        <v>15</v>
      </c>
      <c r="BF9" s="24">
        <f>(BE9/BE8)</f>
        <v>1.524390243902439E-2</v>
      </c>
      <c r="BG9" s="22"/>
      <c r="BH9" s="23">
        <v>15</v>
      </c>
      <c r="BI9" s="24">
        <f>(BH9/BH8)</f>
        <v>1.5197568389057751E-2</v>
      </c>
      <c r="BJ9" s="22"/>
      <c r="BK9" s="23">
        <v>15</v>
      </c>
      <c r="BL9" s="24">
        <f>(BK9/BK8)</f>
        <v>1.4734774066797643E-2</v>
      </c>
      <c r="BM9" s="22"/>
      <c r="BN9" s="23">
        <v>15</v>
      </c>
      <c r="BO9" s="24">
        <f>(BN9/BN8)</f>
        <v>1.488095238095238E-2</v>
      </c>
      <c r="BP9" s="22"/>
      <c r="BQ9" s="23">
        <v>15</v>
      </c>
      <c r="BR9" s="24">
        <f>(BQ9/BQ8)</f>
        <v>1.4895729890764648E-2</v>
      </c>
      <c r="BS9" s="22"/>
      <c r="BT9" s="23">
        <v>18</v>
      </c>
      <c r="BU9" s="24">
        <f>(BT9/BT8)</f>
        <v>1.7509727626459144E-2</v>
      </c>
      <c r="BV9" s="22"/>
      <c r="BW9" s="23">
        <v>17</v>
      </c>
      <c r="BX9" s="24">
        <f>(BW9/BW8)</f>
        <v>1.6781836130306021E-2</v>
      </c>
      <c r="BY9" s="22"/>
      <c r="BZ9" s="23">
        <v>16</v>
      </c>
      <c r="CA9" s="24">
        <f>(BZ9/BZ8)</f>
        <v>1.5952143569292122E-2</v>
      </c>
      <c r="CB9" s="22"/>
      <c r="CC9" s="23">
        <v>17</v>
      </c>
      <c r="CD9" s="24">
        <f>(CC9/CC8)</f>
        <v>1.6666666666666666E-2</v>
      </c>
      <c r="CE9" s="22"/>
      <c r="CF9" s="23">
        <v>17</v>
      </c>
      <c r="CG9" s="24">
        <f>(CF9/CF8)</f>
        <v>1.7051153460381142E-2</v>
      </c>
      <c r="CH9" s="22"/>
      <c r="CI9" s="23">
        <v>19</v>
      </c>
      <c r="CJ9" s="24">
        <f>CI9/CI8</f>
        <v>1.9407558733401432E-2</v>
      </c>
      <c r="CK9" s="22"/>
      <c r="CL9" s="23">
        <v>23</v>
      </c>
      <c r="CM9" s="24">
        <f>CL9/987</f>
        <v>2.3302938196555219E-2</v>
      </c>
      <c r="CN9" s="22"/>
      <c r="CO9" s="83">
        <v>22</v>
      </c>
      <c r="CP9" s="24">
        <f t="shared" ref="CP9:CP18" si="0">CO9/966</f>
        <v>2.2774327122153208E-2</v>
      </c>
      <c r="CQ9" s="22"/>
      <c r="CR9" s="23">
        <v>23</v>
      </c>
      <c r="CS9" s="24">
        <f t="shared" ref="CS9:CS18" si="1">CR9/$CR$8</f>
        <v>2.3445463812436288E-2</v>
      </c>
      <c r="CT9" s="22"/>
      <c r="CU9" s="23">
        <v>20</v>
      </c>
      <c r="CV9" s="24">
        <f>CU9/$CX$8</f>
        <v>2.098635886673662E-2</v>
      </c>
      <c r="CW9" s="22"/>
      <c r="CX9" s="23">
        <v>19</v>
      </c>
      <c r="CY9" s="24">
        <f t="shared" ref="CY9:CY18" si="2">CX9/$CX$8</f>
        <v>1.993704092339979E-2</v>
      </c>
      <c r="CZ9" s="23"/>
      <c r="DA9" s="23">
        <v>17</v>
      </c>
      <c r="DB9" s="24">
        <f>DA9/$DA$8</f>
        <v>1.8220793140407289E-2</v>
      </c>
      <c r="DC9" s="23"/>
      <c r="DD9" s="23">
        <v>17</v>
      </c>
      <c r="DE9" s="24">
        <f>DD9/$DA$8</f>
        <v>1.8220793140407289E-2</v>
      </c>
      <c r="DF9" s="23"/>
      <c r="DG9" s="23">
        <v>16</v>
      </c>
      <c r="DH9" s="24">
        <f>DG9/$DA$8</f>
        <v>1.7148981779206859E-2</v>
      </c>
    </row>
    <row r="10" spans="1:112" s="27" customFormat="1" ht="10.15" customHeight="1">
      <c r="A10" s="22"/>
      <c r="B10" s="116" t="s">
        <v>9</v>
      </c>
      <c r="C10" s="116"/>
      <c r="D10" s="116"/>
      <c r="E10" s="116"/>
      <c r="F10" s="23">
        <v>0</v>
      </c>
      <c r="G10" s="24">
        <f>(F10/F8)</f>
        <v>0</v>
      </c>
      <c r="H10" s="23"/>
      <c r="I10" s="23">
        <v>0</v>
      </c>
      <c r="J10" s="24">
        <f>(I10/I8)</f>
        <v>0</v>
      </c>
      <c r="K10" s="25"/>
      <c r="L10" s="23">
        <v>0</v>
      </c>
      <c r="M10" s="24">
        <f>(L10/L8)</f>
        <v>0</v>
      </c>
      <c r="N10" s="26"/>
      <c r="O10" s="23">
        <v>0</v>
      </c>
      <c r="P10" s="24">
        <f>(O10/O8)</f>
        <v>0</v>
      </c>
      <c r="Q10" s="26"/>
      <c r="R10" s="23">
        <v>0</v>
      </c>
      <c r="S10" s="24">
        <f>(R10/R8)</f>
        <v>0</v>
      </c>
      <c r="T10" s="26"/>
      <c r="U10" s="23">
        <v>0</v>
      </c>
      <c r="V10" s="24">
        <f>(U10/U8)</f>
        <v>0</v>
      </c>
      <c r="W10" s="26"/>
      <c r="X10" s="23">
        <v>0</v>
      </c>
      <c r="Y10" s="24">
        <f>(X10/X8)</f>
        <v>0</v>
      </c>
      <c r="Z10" s="26"/>
      <c r="AA10" s="23">
        <v>2</v>
      </c>
      <c r="AB10" s="24">
        <f>(AA10/AA8)</f>
        <v>1.7211703958691911E-3</v>
      </c>
      <c r="AC10" s="26"/>
      <c r="AD10" s="23">
        <v>2</v>
      </c>
      <c r="AE10" s="24">
        <f>(AD10/AD8)</f>
        <v>1.7196904557179708E-3</v>
      </c>
      <c r="AF10" s="26"/>
      <c r="AG10" s="23">
        <v>3</v>
      </c>
      <c r="AH10" s="24">
        <f>(AG10/AG8)</f>
        <v>2.6929982046678637E-3</v>
      </c>
      <c r="AI10" s="26"/>
      <c r="AJ10" s="23">
        <v>4</v>
      </c>
      <c r="AK10" s="24">
        <f>(AJ10/AJ8)</f>
        <v>3.7140204271123491E-3</v>
      </c>
      <c r="AL10" s="26"/>
      <c r="AM10" s="23">
        <v>6</v>
      </c>
      <c r="AN10" s="24">
        <f>(AM10/AM8)</f>
        <v>5.6657223796033997E-3</v>
      </c>
      <c r="AO10" s="22"/>
      <c r="AP10" s="23">
        <v>6</v>
      </c>
      <c r="AQ10" s="24">
        <f>(AP10/AP8)</f>
        <v>5.8823529411764705E-3</v>
      </c>
      <c r="AR10" s="22"/>
      <c r="AS10" s="23">
        <v>5</v>
      </c>
      <c r="AT10" s="24">
        <f>(AS10/AS8)</f>
        <v>4.9652432969215492E-3</v>
      </c>
      <c r="AU10" s="22"/>
      <c r="AV10" s="23">
        <v>6</v>
      </c>
      <c r="AW10" s="24">
        <f>(AV10/AV8)</f>
        <v>6.1349693251533744E-3</v>
      </c>
      <c r="AX10" s="22"/>
      <c r="AY10" s="23">
        <v>5</v>
      </c>
      <c r="AZ10" s="24">
        <f>(AY10/AY8)</f>
        <v>5.0100200400801601E-3</v>
      </c>
      <c r="BA10" s="22"/>
      <c r="BB10" s="23">
        <v>5</v>
      </c>
      <c r="BC10" s="24">
        <f>(BB10/BB8)</f>
        <v>5.076142131979695E-3</v>
      </c>
      <c r="BD10" s="22"/>
      <c r="BE10" s="23">
        <v>5</v>
      </c>
      <c r="BF10" s="24">
        <f>(BE10/BE8)</f>
        <v>5.08130081300813E-3</v>
      </c>
      <c r="BG10" s="22"/>
      <c r="BH10" s="23">
        <v>6</v>
      </c>
      <c r="BI10" s="24">
        <f>(BH10/BH8)</f>
        <v>6.0790273556231003E-3</v>
      </c>
      <c r="BJ10" s="22"/>
      <c r="BK10" s="23">
        <v>6</v>
      </c>
      <c r="BL10" s="24">
        <f>(BK10/BK8)</f>
        <v>5.893909626719057E-3</v>
      </c>
      <c r="BM10" s="22"/>
      <c r="BN10" s="23">
        <v>5</v>
      </c>
      <c r="BO10" s="24">
        <f>(BN10/BN8)</f>
        <v>4.96031746031746E-3</v>
      </c>
      <c r="BP10" s="22"/>
      <c r="BQ10" s="23">
        <v>5</v>
      </c>
      <c r="BR10" s="24">
        <f>(BQ10/BQ8)</f>
        <v>4.9652432969215492E-3</v>
      </c>
      <c r="BS10" s="22"/>
      <c r="BT10" s="23">
        <v>5</v>
      </c>
      <c r="BU10" s="24">
        <f>(BT10/BT8)</f>
        <v>4.8638132295719845E-3</v>
      </c>
      <c r="BV10" s="22"/>
      <c r="BW10" s="23">
        <v>4</v>
      </c>
      <c r="BX10" s="24">
        <f>(BW10/BW8)</f>
        <v>3.9486673247778872E-3</v>
      </c>
      <c r="BY10" s="22"/>
      <c r="BZ10" s="23">
        <v>3</v>
      </c>
      <c r="CA10" s="24">
        <f>(BZ10/BZ8)</f>
        <v>2.9910269192422734E-3</v>
      </c>
      <c r="CB10" s="22"/>
      <c r="CC10" s="23">
        <v>2</v>
      </c>
      <c r="CD10" s="24">
        <f>(CC10/CC8)</f>
        <v>1.9607843137254902E-3</v>
      </c>
      <c r="CE10" s="22"/>
      <c r="CF10" s="23">
        <v>2</v>
      </c>
      <c r="CG10" s="24">
        <f>(CF10/CF8)</f>
        <v>2.0060180541624875E-3</v>
      </c>
      <c r="CH10" s="22"/>
      <c r="CI10" s="23">
        <v>2</v>
      </c>
      <c r="CJ10" s="24">
        <f>CI10/CI8</f>
        <v>2.0429009193054137E-3</v>
      </c>
      <c r="CK10" s="22"/>
      <c r="CL10" s="23">
        <v>2</v>
      </c>
      <c r="CM10" s="24">
        <f t="shared" ref="CM10:CM17" si="3">CL10/987</f>
        <v>2.0263424518743669E-3</v>
      </c>
      <c r="CN10" s="22"/>
      <c r="CO10" s="83">
        <v>2</v>
      </c>
      <c r="CP10" s="24">
        <f t="shared" si="0"/>
        <v>2.070393374741201E-3</v>
      </c>
      <c r="CQ10" s="22"/>
      <c r="CR10" s="23">
        <v>3</v>
      </c>
      <c r="CS10" s="24">
        <f t="shared" si="1"/>
        <v>3.0581039755351682E-3</v>
      </c>
      <c r="CT10" s="22"/>
      <c r="CU10" s="23">
        <v>3</v>
      </c>
      <c r="CV10" s="24">
        <f t="shared" ref="CV10:CV18" si="4">CU10/$CX$8</f>
        <v>3.1479538300104933E-3</v>
      </c>
      <c r="CW10" s="22"/>
      <c r="CX10" s="23">
        <v>3</v>
      </c>
      <c r="CY10" s="24">
        <f t="shared" si="2"/>
        <v>3.1479538300104933E-3</v>
      </c>
      <c r="CZ10" s="23"/>
      <c r="DA10" s="23">
        <v>3</v>
      </c>
      <c r="DB10" s="24">
        <f t="shared" ref="DB10:DB18" si="5">DA10/$DA$8</f>
        <v>3.2154340836012861E-3</v>
      </c>
      <c r="DC10" s="23"/>
      <c r="DD10" s="23">
        <v>3</v>
      </c>
      <c r="DE10" s="24">
        <f t="shared" ref="DE10:DE18" si="6">DD10/$DA$8</f>
        <v>3.2154340836012861E-3</v>
      </c>
      <c r="DF10" s="23"/>
      <c r="DG10" s="23">
        <v>3</v>
      </c>
      <c r="DH10" s="24">
        <f t="shared" ref="DH10:DH18" si="7">DG10/$DA$8</f>
        <v>3.2154340836012861E-3</v>
      </c>
    </row>
    <row r="11" spans="1:112" s="27" customFormat="1" ht="10.15" customHeight="1">
      <c r="A11" s="22"/>
      <c r="B11" s="116" t="s">
        <v>32</v>
      </c>
      <c r="C11" s="116"/>
      <c r="D11" s="116"/>
      <c r="E11" s="116"/>
      <c r="F11" s="23">
        <v>52</v>
      </c>
      <c r="G11" s="24">
        <f>(F11/F8)</f>
        <v>4.3514644351464432E-2</v>
      </c>
      <c r="H11" s="23"/>
      <c r="I11" s="23">
        <v>56</v>
      </c>
      <c r="J11" s="24">
        <f>(I11/I8)</f>
        <v>4.7457627118644069E-2</v>
      </c>
      <c r="K11" s="25"/>
      <c r="L11" s="23">
        <v>61</v>
      </c>
      <c r="M11" s="24">
        <f>(L11/L8)</f>
        <v>5.1826677994902294E-2</v>
      </c>
      <c r="N11" s="26"/>
      <c r="O11" s="23">
        <v>67</v>
      </c>
      <c r="P11" s="24">
        <f>(O11/O8)</f>
        <v>5.6255247691015954E-2</v>
      </c>
      <c r="Q11" s="26"/>
      <c r="R11" s="23">
        <v>70</v>
      </c>
      <c r="S11" s="24">
        <f>(R11/R8)</f>
        <v>5.8430717863105178E-2</v>
      </c>
      <c r="T11" s="26"/>
      <c r="U11" s="23">
        <v>74</v>
      </c>
      <c r="V11" s="24">
        <f>(U11/U8)</f>
        <v>6.1157024793388429E-2</v>
      </c>
      <c r="W11" s="26"/>
      <c r="X11" s="23">
        <v>79</v>
      </c>
      <c r="Y11" s="24">
        <f>(X11/X8)</f>
        <v>6.6053511705685616E-2</v>
      </c>
      <c r="Z11" s="26"/>
      <c r="AA11" s="23">
        <v>82</v>
      </c>
      <c r="AB11" s="24">
        <f>(AA11/AA8)</f>
        <v>7.0567986230636828E-2</v>
      </c>
      <c r="AC11" s="26"/>
      <c r="AD11" s="23">
        <v>83</v>
      </c>
      <c r="AE11" s="24">
        <f>(AD11/AD8)</f>
        <v>7.1367153912295783E-2</v>
      </c>
      <c r="AF11" s="26"/>
      <c r="AG11" s="23">
        <v>82</v>
      </c>
      <c r="AH11" s="24">
        <f>(AG11/AG8)</f>
        <v>7.3608617594254938E-2</v>
      </c>
      <c r="AI11" s="26"/>
      <c r="AJ11" s="23">
        <v>87</v>
      </c>
      <c r="AK11" s="24">
        <f>(AJ11/AJ8)</f>
        <v>8.0779944289693595E-2</v>
      </c>
      <c r="AL11" s="26"/>
      <c r="AM11" s="23">
        <v>90</v>
      </c>
      <c r="AN11" s="24">
        <f>(AM11/AM8)</f>
        <v>8.4985835694050993E-2</v>
      </c>
      <c r="AO11" s="22"/>
      <c r="AP11" s="23">
        <v>93</v>
      </c>
      <c r="AQ11" s="24">
        <f>(AP11/AP8)</f>
        <v>9.1176470588235289E-2</v>
      </c>
      <c r="AR11" s="22"/>
      <c r="AS11" s="23">
        <v>105</v>
      </c>
      <c r="AT11" s="24">
        <f>(AS11/AS8)</f>
        <v>0.10427010923535253</v>
      </c>
      <c r="AU11" s="22"/>
      <c r="AV11" s="23">
        <v>107</v>
      </c>
      <c r="AW11" s="24">
        <f>(AV11/AV8)</f>
        <v>0.10940695296523517</v>
      </c>
      <c r="AX11" s="22"/>
      <c r="AY11" s="23">
        <v>119</v>
      </c>
      <c r="AZ11" s="24">
        <f>(AY11/AY8)</f>
        <v>0.11923847695390781</v>
      </c>
      <c r="BA11" s="22"/>
      <c r="BB11" s="23">
        <v>123</v>
      </c>
      <c r="BC11" s="24">
        <f>(BB11/BB8)</f>
        <v>0.12487309644670051</v>
      </c>
      <c r="BD11" s="22"/>
      <c r="BE11" s="23">
        <v>129</v>
      </c>
      <c r="BF11" s="24">
        <f>(BE11/BE8)</f>
        <v>0.13109756097560976</v>
      </c>
      <c r="BG11" s="22"/>
      <c r="BH11" s="23">
        <v>138</v>
      </c>
      <c r="BI11" s="24">
        <f>(BH11/BH8)</f>
        <v>0.1398176291793313</v>
      </c>
      <c r="BJ11" s="22"/>
      <c r="BK11" s="23">
        <v>144</v>
      </c>
      <c r="BL11" s="24">
        <f>(BK11/BK8)</f>
        <v>0.14145383104125736</v>
      </c>
      <c r="BM11" s="22"/>
      <c r="BN11" s="23">
        <v>146</v>
      </c>
      <c r="BO11" s="24">
        <f>(BN11/BN8)</f>
        <v>0.14484126984126985</v>
      </c>
      <c r="BP11" s="22"/>
      <c r="BQ11" s="23">
        <v>153</v>
      </c>
      <c r="BR11" s="24">
        <f>(BQ11/BQ8)</f>
        <v>0.15193644488579941</v>
      </c>
      <c r="BS11" s="22"/>
      <c r="BT11" s="23">
        <v>165</v>
      </c>
      <c r="BU11" s="24">
        <f>(BT11/BT8)</f>
        <v>0.1605058365758755</v>
      </c>
      <c r="BV11" s="22"/>
      <c r="BW11" s="23">
        <v>170</v>
      </c>
      <c r="BX11" s="24">
        <f>(BW11/BW8)</f>
        <v>0.16781836130306022</v>
      </c>
      <c r="BY11" s="22"/>
      <c r="BZ11" s="23">
        <v>178</v>
      </c>
      <c r="CA11" s="24">
        <f>(BZ11/BZ8)</f>
        <v>0.17746759720837488</v>
      </c>
      <c r="CB11" s="22"/>
      <c r="CC11" s="23">
        <v>180</v>
      </c>
      <c r="CD11" s="24">
        <f>(CC11/CC8)</f>
        <v>0.17647058823529413</v>
      </c>
      <c r="CE11" s="22"/>
      <c r="CF11" s="23">
        <v>178</v>
      </c>
      <c r="CG11" s="24">
        <f>(CF11/CF8)</f>
        <v>0.17853560682046138</v>
      </c>
      <c r="CH11" s="22"/>
      <c r="CI11" s="23">
        <v>181</v>
      </c>
      <c r="CJ11" s="24">
        <f>CI11/CI8</f>
        <v>0.18488253319713993</v>
      </c>
      <c r="CK11" s="22"/>
      <c r="CL11" s="23">
        <v>181</v>
      </c>
      <c r="CM11" s="24">
        <f t="shared" si="3"/>
        <v>0.1833839918946302</v>
      </c>
      <c r="CN11" s="22"/>
      <c r="CO11" s="83">
        <v>183</v>
      </c>
      <c r="CP11" s="24">
        <f t="shared" si="0"/>
        <v>0.18944099378881987</v>
      </c>
      <c r="CQ11" s="22"/>
      <c r="CR11" s="23">
        <v>191</v>
      </c>
      <c r="CS11" s="24">
        <f t="shared" si="1"/>
        <v>0.19469928644240569</v>
      </c>
      <c r="CT11" s="22"/>
      <c r="CU11" s="23">
        <v>201</v>
      </c>
      <c r="CV11" s="24">
        <f t="shared" si="4"/>
        <v>0.21091290661070305</v>
      </c>
      <c r="CW11" s="22"/>
      <c r="CX11" s="23">
        <v>202</v>
      </c>
      <c r="CY11" s="24">
        <f t="shared" si="2"/>
        <v>0.21196222455403987</v>
      </c>
      <c r="CZ11" s="23"/>
      <c r="DA11" s="23">
        <v>203</v>
      </c>
      <c r="DB11" s="24">
        <f t="shared" si="5"/>
        <v>0.21757770632368703</v>
      </c>
      <c r="DC11" s="23"/>
      <c r="DD11" s="23">
        <v>198</v>
      </c>
      <c r="DE11" s="24">
        <f t="shared" si="6"/>
        <v>0.21221864951768488</v>
      </c>
      <c r="DF11" s="23"/>
      <c r="DG11" s="23">
        <v>198</v>
      </c>
      <c r="DH11" s="24">
        <f t="shared" si="7"/>
        <v>0.21221864951768488</v>
      </c>
    </row>
    <row r="12" spans="1:112" s="27" customFormat="1" ht="10.15" customHeight="1">
      <c r="A12" s="22"/>
      <c r="B12" s="116" t="s">
        <v>10</v>
      </c>
      <c r="C12" s="116"/>
      <c r="D12" s="116"/>
      <c r="E12" s="116"/>
      <c r="F12" s="23">
        <v>6</v>
      </c>
      <c r="G12" s="24">
        <f>(F12/F8)</f>
        <v>5.0209205020920501E-3</v>
      </c>
      <c r="H12" s="23"/>
      <c r="I12" s="23">
        <v>5</v>
      </c>
      <c r="J12" s="24">
        <f>(I12/I8)</f>
        <v>4.2372881355932203E-3</v>
      </c>
      <c r="K12" s="25"/>
      <c r="L12" s="23">
        <v>6</v>
      </c>
      <c r="M12" s="24">
        <f>(L12/L8)</f>
        <v>5.0977060322854716E-3</v>
      </c>
      <c r="N12" s="26"/>
      <c r="O12" s="23">
        <v>6</v>
      </c>
      <c r="P12" s="24">
        <f>(O12/O8)</f>
        <v>5.0377833753148613E-3</v>
      </c>
      <c r="Q12" s="26"/>
      <c r="R12" s="23">
        <v>7</v>
      </c>
      <c r="S12" s="24">
        <f>(R12/R8)</f>
        <v>5.8430717863105176E-3</v>
      </c>
      <c r="T12" s="26"/>
      <c r="U12" s="23">
        <v>9</v>
      </c>
      <c r="V12" s="24">
        <f>(U12/U8)</f>
        <v>7.4380165289256199E-3</v>
      </c>
      <c r="W12" s="26"/>
      <c r="X12" s="23">
        <v>9</v>
      </c>
      <c r="Y12" s="24">
        <f>(X12/X8)</f>
        <v>7.525083612040134E-3</v>
      </c>
      <c r="Z12" s="26"/>
      <c r="AA12" s="23">
        <v>9</v>
      </c>
      <c r="AB12" s="24">
        <f>(AA12/AA8)</f>
        <v>7.7452667814113599E-3</v>
      </c>
      <c r="AC12" s="26"/>
      <c r="AD12" s="23">
        <v>12</v>
      </c>
      <c r="AE12" s="24">
        <f>(AD12/AD8)</f>
        <v>1.0318142734307825E-2</v>
      </c>
      <c r="AF12" s="26"/>
      <c r="AG12" s="23">
        <v>13</v>
      </c>
      <c r="AH12" s="24">
        <f>(AG12/AG8)</f>
        <v>1.1669658886894075E-2</v>
      </c>
      <c r="AI12" s="26"/>
      <c r="AJ12" s="23">
        <v>13</v>
      </c>
      <c r="AK12" s="24">
        <f>(AJ12/AJ8)</f>
        <v>1.2070566388115135E-2</v>
      </c>
      <c r="AL12" s="26"/>
      <c r="AM12" s="23">
        <v>14</v>
      </c>
      <c r="AN12" s="24">
        <f>(AM12/AM8)</f>
        <v>1.3220018885741265E-2</v>
      </c>
      <c r="AO12" s="22"/>
      <c r="AP12" s="23">
        <v>15</v>
      </c>
      <c r="AQ12" s="24">
        <f>(AP12/AP8)</f>
        <v>1.4705882352941176E-2</v>
      </c>
      <c r="AR12" s="22"/>
      <c r="AS12" s="23">
        <v>15</v>
      </c>
      <c r="AT12" s="24">
        <f>(AS12/AS8)</f>
        <v>1.4895729890764648E-2</v>
      </c>
      <c r="AU12" s="22"/>
      <c r="AV12" s="23">
        <v>14</v>
      </c>
      <c r="AW12" s="24">
        <f>(AV12/AV8)</f>
        <v>1.4314928425357873E-2</v>
      </c>
      <c r="AX12" s="22"/>
      <c r="AY12" s="23">
        <v>16</v>
      </c>
      <c r="AZ12" s="24">
        <f>(AY12/AY8)</f>
        <v>1.6032064128256512E-2</v>
      </c>
      <c r="BA12" s="22"/>
      <c r="BB12" s="23">
        <v>16</v>
      </c>
      <c r="BC12" s="24">
        <f>(BB12/BB8)</f>
        <v>1.6243654822335026E-2</v>
      </c>
      <c r="BD12" s="22"/>
      <c r="BE12" s="23">
        <v>16</v>
      </c>
      <c r="BF12" s="24">
        <f>(BE12/BE8)</f>
        <v>1.6260162601626018E-2</v>
      </c>
      <c r="BG12" s="22"/>
      <c r="BH12" s="23">
        <v>13</v>
      </c>
      <c r="BI12" s="24">
        <f>(BH12/BH8)</f>
        <v>1.3171225937183385E-2</v>
      </c>
      <c r="BJ12" s="22"/>
      <c r="BK12" s="23">
        <v>18</v>
      </c>
      <c r="BL12" s="24">
        <f>(BK12/BK8)</f>
        <v>1.768172888015717E-2</v>
      </c>
      <c r="BM12" s="22"/>
      <c r="BN12" s="23">
        <v>17</v>
      </c>
      <c r="BO12" s="24">
        <f>(BN12/BN8)</f>
        <v>1.6865079365079364E-2</v>
      </c>
      <c r="BP12" s="22"/>
      <c r="BQ12" s="23">
        <v>17</v>
      </c>
      <c r="BR12" s="24">
        <f>(BQ12/BQ8)</f>
        <v>1.6881827209533268E-2</v>
      </c>
      <c r="BS12" s="22"/>
      <c r="BT12" s="23">
        <v>20</v>
      </c>
      <c r="BU12" s="24">
        <f>(BT12/BT8)</f>
        <v>1.9455252918287938E-2</v>
      </c>
      <c r="BV12" s="22"/>
      <c r="BW12" s="23">
        <v>21</v>
      </c>
      <c r="BX12" s="24">
        <f>(BW12/BW8)</f>
        <v>2.0730503455083909E-2</v>
      </c>
      <c r="BY12" s="22"/>
      <c r="BZ12" s="23">
        <v>22</v>
      </c>
      <c r="CA12" s="24">
        <f>(BZ12/BZ8)</f>
        <v>2.1934197407776669E-2</v>
      </c>
      <c r="CB12" s="22"/>
      <c r="CC12" s="23">
        <v>26</v>
      </c>
      <c r="CD12" s="24">
        <f>(CC12/CC8)</f>
        <v>2.5490196078431372E-2</v>
      </c>
      <c r="CE12" s="22"/>
      <c r="CF12" s="23">
        <v>27</v>
      </c>
      <c r="CG12" s="24">
        <f>(CF12/CF8)</f>
        <v>2.7081243731193579E-2</v>
      </c>
      <c r="CH12" s="22"/>
      <c r="CI12" s="23">
        <v>29</v>
      </c>
      <c r="CJ12" s="24">
        <f>CI12/CI8</f>
        <v>2.9622063329928498E-2</v>
      </c>
      <c r="CK12" s="22"/>
      <c r="CL12" s="23">
        <v>28</v>
      </c>
      <c r="CM12" s="24">
        <f t="shared" si="3"/>
        <v>2.8368794326241134E-2</v>
      </c>
      <c r="CN12" s="22"/>
      <c r="CO12" s="83">
        <v>28</v>
      </c>
      <c r="CP12" s="24">
        <f t="shared" si="0"/>
        <v>2.8985507246376812E-2</v>
      </c>
      <c r="CQ12" s="22"/>
      <c r="CR12" s="23">
        <v>32</v>
      </c>
      <c r="CS12" s="24">
        <f t="shared" si="1"/>
        <v>3.2619775739041797E-2</v>
      </c>
      <c r="CT12" s="22"/>
      <c r="CU12" s="23">
        <v>31</v>
      </c>
      <c r="CV12" s="24">
        <f t="shared" si="4"/>
        <v>3.2528856243441762E-2</v>
      </c>
      <c r="CW12" s="22"/>
      <c r="CX12" s="23">
        <v>31</v>
      </c>
      <c r="CY12" s="24">
        <f t="shared" si="2"/>
        <v>3.2528856243441762E-2</v>
      </c>
      <c r="CZ12" s="23"/>
      <c r="DA12" s="23">
        <v>33</v>
      </c>
      <c r="DB12" s="24">
        <f t="shared" si="5"/>
        <v>3.5369774919614148E-2</v>
      </c>
      <c r="DC12" s="23"/>
      <c r="DD12" s="23">
        <v>29</v>
      </c>
      <c r="DE12" s="24">
        <f t="shared" si="6"/>
        <v>3.1082529474812434E-2</v>
      </c>
      <c r="DF12" s="23"/>
      <c r="DG12" s="23">
        <v>32</v>
      </c>
      <c r="DH12" s="24">
        <f t="shared" si="7"/>
        <v>3.4297963558413719E-2</v>
      </c>
    </row>
    <row r="13" spans="1:112" s="27" customFormat="1" ht="10.15" customHeight="1">
      <c r="A13" s="22"/>
      <c r="B13" s="116" t="s">
        <v>33</v>
      </c>
      <c r="C13" s="116"/>
      <c r="D13" s="116"/>
      <c r="E13" s="116"/>
      <c r="F13" s="23"/>
      <c r="G13" s="24"/>
      <c r="H13" s="23"/>
      <c r="I13" s="23"/>
      <c r="J13" s="24"/>
      <c r="K13" s="25"/>
      <c r="L13" s="23"/>
      <c r="M13" s="24"/>
      <c r="N13" s="26"/>
      <c r="O13" s="23"/>
      <c r="P13" s="24"/>
      <c r="Q13" s="26"/>
      <c r="R13" s="23"/>
      <c r="S13" s="24"/>
      <c r="T13" s="26"/>
      <c r="U13" s="23"/>
      <c r="V13" s="24"/>
      <c r="W13" s="26"/>
      <c r="X13" s="23"/>
      <c r="Y13" s="24"/>
      <c r="Z13" s="26"/>
      <c r="AA13" s="23"/>
      <c r="AB13" s="24"/>
      <c r="AC13" s="26"/>
      <c r="AD13" s="23"/>
      <c r="AE13" s="24"/>
      <c r="AF13" s="26"/>
      <c r="AG13" s="23"/>
      <c r="AH13" s="24"/>
      <c r="AI13" s="26"/>
      <c r="AJ13" s="23"/>
      <c r="AK13" s="24"/>
      <c r="AL13" s="26"/>
      <c r="AM13" s="23"/>
      <c r="AN13" s="24"/>
      <c r="AO13" s="22"/>
      <c r="AP13" s="23"/>
      <c r="AQ13" s="24"/>
      <c r="AR13" s="22"/>
      <c r="AS13" s="23"/>
      <c r="AT13" s="24"/>
      <c r="AU13" s="22"/>
      <c r="AV13" s="23"/>
      <c r="AW13" s="24"/>
      <c r="AX13" s="22"/>
      <c r="AY13" s="23"/>
      <c r="AZ13" s="24"/>
      <c r="BA13" s="22"/>
      <c r="BB13" s="23"/>
      <c r="BC13" s="24"/>
      <c r="BD13" s="22"/>
      <c r="BE13" s="23"/>
      <c r="BF13" s="24"/>
      <c r="BG13" s="22"/>
      <c r="BH13" s="23"/>
      <c r="BI13" s="24"/>
      <c r="BJ13" s="22"/>
      <c r="BK13" s="23">
        <v>0</v>
      </c>
      <c r="BL13" s="24">
        <f>BK13/BK8</f>
        <v>0</v>
      </c>
      <c r="BM13" s="22"/>
      <c r="BN13" s="23">
        <v>0</v>
      </c>
      <c r="BO13" s="24">
        <f>BN13/BN8</f>
        <v>0</v>
      </c>
      <c r="BP13" s="22"/>
      <c r="BQ13" s="23">
        <v>0</v>
      </c>
      <c r="BR13" s="24">
        <f>BQ13/BQ8</f>
        <v>0</v>
      </c>
      <c r="BS13" s="22"/>
      <c r="BT13" s="23">
        <v>0</v>
      </c>
      <c r="BU13" s="24">
        <f>BT13/BT8</f>
        <v>0</v>
      </c>
      <c r="BV13" s="22"/>
      <c r="BW13" s="23">
        <v>0</v>
      </c>
      <c r="BX13" s="24">
        <f>BW13/BW8</f>
        <v>0</v>
      </c>
      <c r="BY13" s="22"/>
      <c r="BZ13" s="23">
        <v>1</v>
      </c>
      <c r="CA13" s="24">
        <f>BZ13/BZ8</f>
        <v>9.9700897308075765E-4</v>
      </c>
      <c r="CB13" s="22"/>
      <c r="CC13" s="23">
        <v>1</v>
      </c>
      <c r="CD13" s="24">
        <f>CC13/CC8</f>
        <v>9.8039215686274508E-4</v>
      </c>
      <c r="CE13" s="22"/>
      <c r="CF13" s="23">
        <v>1</v>
      </c>
      <c r="CG13" s="24">
        <f>CF13/CF8</f>
        <v>1.0030090270812437E-3</v>
      </c>
      <c r="CH13" s="22"/>
      <c r="CI13" s="23">
        <v>1</v>
      </c>
      <c r="CJ13" s="24">
        <f>CI13/CI8</f>
        <v>1.0214504596527069E-3</v>
      </c>
      <c r="CK13" s="22"/>
      <c r="CL13" s="23">
        <v>1</v>
      </c>
      <c r="CM13" s="24">
        <f t="shared" si="3"/>
        <v>1.0131712259371835E-3</v>
      </c>
      <c r="CN13" s="22"/>
      <c r="CO13" s="83">
        <v>1</v>
      </c>
      <c r="CP13" s="24">
        <f t="shared" si="0"/>
        <v>1.0351966873706005E-3</v>
      </c>
      <c r="CQ13" s="22"/>
      <c r="CR13" s="23">
        <v>1</v>
      </c>
      <c r="CS13" s="24">
        <f t="shared" si="1"/>
        <v>1.0193679918450561E-3</v>
      </c>
      <c r="CT13" s="22"/>
      <c r="CU13" s="23">
        <v>1</v>
      </c>
      <c r="CV13" s="24">
        <f t="shared" si="4"/>
        <v>1.0493179433368311E-3</v>
      </c>
      <c r="CW13" s="22"/>
      <c r="CX13" s="23">
        <v>1</v>
      </c>
      <c r="CY13" s="24">
        <f t="shared" si="2"/>
        <v>1.0493179433368311E-3</v>
      </c>
      <c r="CZ13" s="23"/>
      <c r="DA13" s="23">
        <v>1</v>
      </c>
      <c r="DB13" s="24">
        <f t="shared" si="5"/>
        <v>1.0718113612004287E-3</v>
      </c>
      <c r="DC13" s="23"/>
      <c r="DD13" s="23">
        <v>1</v>
      </c>
      <c r="DE13" s="24">
        <f t="shared" si="6"/>
        <v>1.0718113612004287E-3</v>
      </c>
      <c r="DF13" s="23"/>
      <c r="DG13" s="23">
        <v>1</v>
      </c>
      <c r="DH13" s="24">
        <f t="shared" si="7"/>
        <v>1.0718113612004287E-3</v>
      </c>
    </row>
    <row r="14" spans="1:112" s="27" customFormat="1" ht="10.15" customHeight="1">
      <c r="A14" s="22"/>
      <c r="B14" s="116" t="s">
        <v>34</v>
      </c>
      <c r="C14" s="116"/>
      <c r="D14" s="116"/>
      <c r="E14" s="116"/>
      <c r="F14" s="23"/>
      <c r="G14" s="24"/>
      <c r="H14" s="23"/>
      <c r="I14" s="23"/>
      <c r="J14" s="24"/>
      <c r="K14" s="25"/>
      <c r="L14" s="23"/>
      <c r="M14" s="24"/>
      <c r="N14" s="26"/>
      <c r="O14" s="23"/>
      <c r="P14" s="24"/>
      <c r="Q14" s="26"/>
      <c r="R14" s="23"/>
      <c r="S14" s="24"/>
      <c r="T14" s="26"/>
      <c r="U14" s="23"/>
      <c r="V14" s="24"/>
      <c r="W14" s="26"/>
      <c r="X14" s="23"/>
      <c r="Y14" s="24"/>
      <c r="Z14" s="26"/>
      <c r="AA14" s="23"/>
      <c r="AB14" s="24"/>
      <c r="AC14" s="26"/>
      <c r="AD14" s="23"/>
      <c r="AE14" s="24"/>
      <c r="AF14" s="26"/>
      <c r="AG14" s="23"/>
      <c r="AH14" s="24"/>
      <c r="AI14" s="26"/>
      <c r="AJ14" s="23"/>
      <c r="AK14" s="24"/>
      <c r="AL14" s="26"/>
      <c r="AM14" s="23"/>
      <c r="AN14" s="24"/>
      <c r="AO14" s="22"/>
      <c r="AP14" s="23"/>
      <c r="AQ14" s="24"/>
      <c r="AR14" s="22"/>
      <c r="AS14" s="23"/>
      <c r="AT14" s="24"/>
      <c r="AU14" s="22"/>
      <c r="AV14" s="23"/>
      <c r="AW14" s="24"/>
      <c r="AX14" s="22"/>
      <c r="AY14" s="23"/>
      <c r="AZ14" s="24"/>
      <c r="BA14" s="22"/>
      <c r="BB14" s="23"/>
      <c r="BC14" s="24"/>
      <c r="BD14" s="22"/>
      <c r="BE14" s="23"/>
      <c r="BF14" s="24"/>
      <c r="BG14" s="22"/>
      <c r="BH14" s="23"/>
      <c r="BI14" s="24"/>
      <c r="BJ14" s="22"/>
      <c r="BK14" s="23">
        <v>0</v>
      </c>
      <c r="BL14" s="24">
        <f>BK14/BK8</f>
        <v>0</v>
      </c>
      <c r="BM14" s="22"/>
      <c r="BN14" s="23">
        <v>1</v>
      </c>
      <c r="BO14" s="24">
        <f>BN14/BN8</f>
        <v>9.9206349206349201E-4</v>
      </c>
      <c r="BP14" s="22"/>
      <c r="BQ14" s="23">
        <v>1</v>
      </c>
      <c r="BR14" s="24">
        <f>BQ14/BQ8</f>
        <v>9.930486593843098E-4</v>
      </c>
      <c r="BS14" s="22"/>
      <c r="BT14" s="23">
        <v>0</v>
      </c>
      <c r="BU14" s="24">
        <f>BT14/BT8</f>
        <v>0</v>
      </c>
      <c r="BV14" s="22"/>
      <c r="BW14" s="23">
        <v>0</v>
      </c>
      <c r="BX14" s="24">
        <f>BW14/BW8</f>
        <v>0</v>
      </c>
      <c r="BY14" s="22"/>
      <c r="BZ14" s="23">
        <v>0</v>
      </c>
      <c r="CA14" s="24">
        <f>BZ14/BZ8</f>
        <v>0</v>
      </c>
      <c r="CB14" s="22"/>
      <c r="CC14" s="23">
        <v>0</v>
      </c>
      <c r="CD14" s="24">
        <f>CC14/CC8</f>
        <v>0</v>
      </c>
      <c r="CE14" s="22"/>
      <c r="CF14" s="23">
        <v>0</v>
      </c>
      <c r="CG14" s="24">
        <f>CF14/CF8</f>
        <v>0</v>
      </c>
      <c r="CH14" s="22"/>
      <c r="CI14" s="23">
        <v>1</v>
      </c>
      <c r="CJ14" s="24">
        <f>CI14/CI8</f>
        <v>1.0214504596527069E-3</v>
      </c>
      <c r="CK14" s="22"/>
      <c r="CL14" s="23">
        <v>1</v>
      </c>
      <c r="CM14" s="24">
        <f t="shared" si="3"/>
        <v>1.0131712259371835E-3</v>
      </c>
      <c r="CN14" s="22"/>
      <c r="CO14" s="83">
        <v>2</v>
      </c>
      <c r="CP14" s="24">
        <f t="shared" si="0"/>
        <v>2.070393374741201E-3</v>
      </c>
      <c r="CQ14" s="22"/>
      <c r="CR14" s="23">
        <v>4</v>
      </c>
      <c r="CS14" s="24">
        <f t="shared" si="1"/>
        <v>4.0774719673802246E-3</v>
      </c>
      <c r="CT14" s="22"/>
      <c r="CU14" s="23">
        <v>4</v>
      </c>
      <c r="CV14" s="24">
        <f t="shared" si="4"/>
        <v>4.1972717733473244E-3</v>
      </c>
      <c r="CW14" s="22"/>
      <c r="CX14" s="23">
        <v>4</v>
      </c>
      <c r="CY14" s="24">
        <f t="shared" si="2"/>
        <v>4.1972717733473244E-3</v>
      </c>
      <c r="CZ14" s="23"/>
      <c r="DA14" s="23">
        <v>6</v>
      </c>
      <c r="DB14" s="24">
        <f t="shared" si="5"/>
        <v>6.4308681672025723E-3</v>
      </c>
      <c r="DC14" s="23"/>
      <c r="DD14" s="23">
        <v>6</v>
      </c>
      <c r="DE14" s="24">
        <f t="shared" si="6"/>
        <v>6.4308681672025723E-3</v>
      </c>
      <c r="DF14" s="23"/>
      <c r="DG14" s="23">
        <v>6</v>
      </c>
      <c r="DH14" s="24">
        <f t="shared" si="7"/>
        <v>6.4308681672025723E-3</v>
      </c>
    </row>
    <row r="15" spans="1:112" s="27" customFormat="1" ht="10.15" customHeight="1">
      <c r="A15" s="22"/>
      <c r="B15" s="76" t="s">
        <v>71</v>
      </c>
      <c r="C15" s="22"/>
      <c r="D15" s="76"/>
      <c r="E15" s="76"/>
      <c r="F15" s="23"/>
      <c r="G15" s="24"/>
      <c r="H15" s="23"/>
      <c r="I15" s="23"/>
      <c r="J15" s="24"/>
      <c r="K15" s="25"/>
      <c r="L15" s="23"/>
      <c r="M15" s="24"/>
      <c r="N15" s="26"/>
      <c r="O15" s="23"/>
      <c r="P15" s="24"/>
      <c r="Q15" s="26"/>
      <c r="R15" s="23"/>
      <c r="S15" s="24"/>
      <c r="T15" s="26"/>
      <c r="U15" s="23"/>
      <c r="V15" s="24"/>
      <c r="W15" s="26"/>
      <c r="X15" s="23"/>
      <c r="Y15" s="24"/>
      <c r="Z15" s="26"/>
      <c r="AA15" s="23"/>
      <c r="AB15" s="24"/>
      <c r="AC15" s="26"/>
      <c r="AD15" s="23"/>
      <c r="AE15" s="24"/>
      <c r="AF15" s="26"/>
      <c r="AG15" s="23"/>
      <c r="AH15" s="24"/>
      <c r="AI15" s="26"/>
      <c r="AJ15" s="23"/>
      <c r="AK15" s="24"/>
      <c r="AL15" s="26"/>
      <c r="AM15" s="23"/>
      <c r="AN15" s="24"/>
      <c r="AO15" s="22"/>
      <c r="AP15" s="23"/>
      <c r="AQ15" s="24"/>
      <c r="AR15" s="22"/>
      <c r="AS15" s="23"/>
      <c r="AT15" s="24"/>
      <c r="AU15" s="22"/>
      <c r="AV15" s="23"/>
      <c r="AW15" s="24"/>
      <c r="AX15" s="22"/>
      <c r="AY15" s="23"/>
      <c r="AZ15" s="24"/>
      <c r="BA15" s="22"/>
      <c r="BB15" s="23"/>
      <c r="BC15" s="24"/>
      <c r="BD15" s="22"/>
      <c r="BE15" s="23"/>
      <c r="BF15" s="24"/>
      <c r="BG15" s="22"/>
      <c r="BH15" s="23"/>
      <c r="BI15" s="24"/>
      <c r="BJ15" s="22"/>
      <c r="BK15" s="23"/>
      <c r="BL15" s="24"/>
      <c r="BM15" s="22"/>
      <c r="BN15" s="23"/>
      <c r="BO15" s="24"/>
      <c r="BP15" s="22"/>
      <c r="BQ15" s="23"/>
      <c r="BR15" s="24"/>
      <c r="BS15" s="22"/>
      <c r="BT15" s="23"/>
      <c r="BU15" s="24"/>
      <c r="BV15" s="22"/>
      <c r="BW15" s="23"/>
      <c r="BX15" s="24"/>
      <c r="BY15" s="22"/>
      <c r="BZ15" s="23"/>
      <c r="CA15" s="24"/>
      <c r="CB15" s="22"/>
      <c r="CC15" s="23"/>
      <c r="CD15" s="24"/>
      <c r="CE15" s="22"/>
      <c r="CF15" s="108" t="s">
        <v>59</v>
      </c>
      <c r="CG15" s="108" t="s">
        <v>61</v>
      </c>
      <c r="CH15" s="22"/>
      <c r="CI15" s="108" t="s">
        <v>59</v>
      </c>
      <c r="CJ15" s="108" t="s">
        <v>62</v>
      </c>
      <c r="CK15" s="22"/>
      <c r="CL15" s="108" t="s">
        <v>59</v>
      </c>
      <c r="CM15" s="108" t="s">
        <v>63</v>
      </c>
      <c r="CN15" s="22"/>
      <c r="CO15" s="83">
        <v>8</v>
      </c>
      <c r="CP15" s="24">
        <v>0</v>
      </c>
      <c r="CQ15" s="22"/>
      <c r="CR15" s="23">
        <v>9</v>
      </c>
      <c r="CS15" s="24">
        <f t="shared" si="1"/>
        <v>9.1743119266055051E-3</v>
      </c>
      <c r="CT15" s="22"/>
      <c r="CU15" s="23">
        <v>7</v>
      </c>
      <c r="CV15" s="24">
        <f t="shared" si="4"/>
        <v>7.3452256033578172E-3</v>
      </c>
      <c r="CW15" s="22"/>
      <c r="CX15" s="23">
        <v>5</v>
      </c>
      <c r="CY15" s="24">
        <f t="shared" si="2"/>
        <v>5.246589716684155E-3</v>
      </c>
      <c r="CZ15" s="23"/>
      <c r="DA15" s="23">
        <v>4</v>
      </c>
      <c r="DB15" s="24">
        <f t="shared" si="5"/>
        <v>4.2872454448017148E-3</v>
      </c>
      <c r="DC15" s="23"/>
      <c r="DD15" s="23">
        <v>4</v>
      </c>
      <c r="DE15" s="24">
        <f t="shared" si="6"/>
        <v>4.2872454448017148E-3</v>
      </c>
      <c r="DF15" s="23"/>
      <c r="DG15" s="23">
        <v>4</v>
      </c>
      <c r="DH15" s="24">
        <f t="shared" si="7"/>
        <v>4.2872454448017148E-3</v>
      </c>
    </row>
    <row r="16" spans="1:112" s="27" customFormat="1" ht="10.15" customHeight="1">
      <c r="A16" s="22"/>
      <c r="B16" s="22"/>
      <c r="C16" s="123" t="s">
        <v>68</v>
      </c>
      <c r="D16" s="123"/>
      <c r="E16" s="123"/>
      <c r="F16" s="23">
        <f>SUM(F9:F12)</f>
        <v>63</v>
      </c>
      <c r="G16" s="24">
        <f>(F16/F8)</f>
        <v>5.2719665271966525E-2</v>
      </c>
      <c r="H16" s="23"/>
      <c r="I16" s="23">
        <f>SUM(I9:I12)</f>
        <v>65</v>
      </c>
      <c r="J16" s="24">
        <f>(I16/I8)</f>
        <v>5.5084745762711863E-2</v>
      </c>
      <c r="K16" s="25"/>
      <c r="L16" s="23">
        <f>SUM(L9:L12)</f>
        <v>72</v>
      </c>
      <c r="M16" s="24">
        <f>(L16/L8)</f>
        <v>6.117247238742566E-2</v>
      </c>
      <c r="N16" s="26"/>
      <c r="O16" s="23">
        <f>SUM(O9:O12)</f>
        <v>79</v>
      </c>
      <c r="P16" s="24">
        <f>(O16/O8)</f>
        <v>6.633081444164568E-2</v>
      </c>
      <c r="Q16" s="26"/>
      <c r="R16" s="23">
        <f>SUM(R9:R12)</f>
        <v>84</v>
      </c>
      <c r="S16" s="24">
        <f>(R16/R8)</f>
        <v>7.0116861435726208E-2</v>
      </c>
      <c r="T16" s="26"/>
      <c r="U16" s="23">
        <f>SUM(U9:U12)</f>
        <v>93</v>
      </c>
      <c r="V16" s="24">
        <f>(U16/U8)</f>
        <v>7.6859504132231402E-2</v>
      </c>
      <c r="W16" s="26"/>
      <c r="X16" s="23">
        <f>SUM(X9:X12)</f>
        <v>98</v>
      </c>
      <c r="Y16" s="24">
        <f>(X16/X8)</f>
        <v>8.193979933110368E-2</v>
      </c>
      <c r="Z16" s="26"/>
      <c r="AA16" s="23">
        <f>SUM(AA9:AA12)</f>
        <v>103</v>
      </c>
      <c r="AB16" s="24">
        <f>(AA16/AA8)</f>
        <v>8.8640275387263337E-2</v>
      </c>
      <c r="AC16" s="26"/>
      <c r="AD16" s="23">
        <f>SUM(AD9:AD12)</f>
        <v>108</v>
      </c>
      <c r="AE16" s="24">
        <f>(AD16/AD8)</f>
        <v>9.2863284608770427E-2</v>
      </c>
      <c r="AF16" s="26"/>
      <c r="AG16" s="23">
        <f>SUM(AG9:AG12)</f>
        <v>109</v>
      </c>
      <c r="AH16" s="24">
        <f>(AG16/AG8)</f>
        <v>9.7845601436265708E-2</v>
      </c>
      <c r="AI16" s="26"/>
      <c r="AJ16" s="23">
        <f>SUM(AJ9:AJ12)</f>
        <v>118</v>
      </c>
      <c r="AK16" s="24">
        <f>(AJ16/AJ8)</f>
        <v>0.10956360259981431</v>
      </c>
      <c r="AL16" s="26"/>
      <c r="AM16" s="23">
        <f>SUM(AM9:AM12)</f>
        <v>129</v>
      </c>
      <c r="AN16" s="24">
        <f>(AM16/AM8)</f>
        <v>0.12181303116147309</v>
      </c>
      <c r="AO16" s="22"/>
      <c r="AP16" s="23">
        <f>SUM(AP9:AP12)</f>
        <v>130</v>
      </c>
      <c r="AQ16" s="24">
        <f>(AP16/AP8)</f>
        <v>0.12745098039215685</v>
      </c>
      <c r="AR16" s="22"/>
      <c r="AS16" s="23">
        <f>SUM(AS9:AS12)</f>
        <v>139</v>
      </c>
      <c r="AT16" s="24">
        <f>(AS16/AS8)</f>
        <v>0.13803376365441908</v>
      </c>
      <c r="AU16" s="22"/>
      <c r="AV16" s="23">
        <f>SUM(AV9:AV12)</f>
        <v>143</v>
      </c>
      <c r="AW16" s="24">
        <f>(AV16/AV8)</f>
        <v>0.14621676891615543</v>
      </c>
      <c r="AX16" s="22"/>
      <c r="AY16" s="23">
        <f>SUM(AY9:AY14)</f>
        <v>153</v>
      </c>
      <c r="AZ16" s="24">
        <f>(AY16/AY8)</f>
        <v>0.15330661322645289</v>
      </c>
      <c r="BA16" s="22"/>
      <c r="BB16" s="23">
        <f>SUM(BB9:BB12)</f>
        <v>158</v>
      </c>
      <c r="BC16" s="24">
        <f>(BB16/BB8)</f>
        <v>0.16040609137055836</v>
      </c>
      <c r="BD16" s="22"/>
      <c r="BE16" s="23">
        <f>SUM(BE9:BE12)</f>
        <v>165</v>
      </c>
      <c r="BF16" s="24">
        <f>(BE16/BE8)</f>
        <v>0.1676829268292683</v>
      </c>
      <c r="BG16" s="22"/>
      <c r="BH16" s="23">
        <f>SUM(BH9:BH12)</f>
        <v>172</v>
      </c>
      <c r="BI16" s="24">
        <f>(BH16/BH8)</f>
        <v>0.17426545086119555</v>
      </c>
      <c r="BJ16" s="22"/>
      <c r="BK16" s="23">
        <f>SUM(BK9:BK14)</f>
        <v>183</v>
      </c>
      <c r="BL16" s="24">
        <f>(BK16/BK8)</f>
        <v>0.17976424361493124</v>
      </c>
      <c r="BM16" s="22"/>
      <c r="BN16" s="23">
        <f>SUM(BN9:BN14)</f>
        <v>184</v>
      </c>
      <c r="BO16" s="24">
        <f>(BN16/BN8)</f>
        <v>0.18253968253968253</v>
      </c>
      <c r="BP16" s="22"/>
      <c r="BQ16" s="23">
        <f>SUM(BQ9:BQ14)</f>
        <v>191</v>
      </c>
      <c r="BR16" s="24">
        <f>(BQ16/BQ8)</f>
        <v>0.18967229394240318</v>
      </c>
      <c r="BS16" s="22"/>
      <c r="BT16" s="23">
        <f>SUM(BT9:BT14)</f>
        <v>208</v>
      </c>
      <c r="BU16" s="24">
        <f>(BT16/BT8)</f>
        <v>0.20233463035019456</v>
      </c>
      <c r="BV16" s="22"/>
      <c r="BW16" s="23">
        <f>SUM(BW9:BW14)</f>
        <v>212</v>
      </c>
      <c r="BX16" s="24">
        <f>(BW16/BW8)</f>
        <v>0.20927936821322804</v>
      </c>
      <c r="BY16" s="22"/>
      <c r="BZ16" s="23">
        <f>SUM(BZ9:BZ14)</f>
        <v>220</v>
      </c>
      <c r="CA16" s="24">
        <f>(BZ16/BZ8)</f>
        <v>0.2193419740777667</v>
      </c>
      <c r="CB16" s="22"/>
      <c r="CC16" s="23">
        <f>SUM(CC9:CC14)</f>
        <v>226</v>
      </c>
      <c r="CD16" s="24">
        <f>(CC16/CC8)</f>
        <v>0.22156862745098038</v>
      </c>
      <c r="CE16" s="22"/>
      <c r="CF16" s="23">
        <f>SUM(CF9:CF14)</f>
        <v>225</v>
      </c>
      <c r="CG16" s="24">
        <f>(CF16/CF8)</f>
        <v>0.22567703109327983</v>
      </c>
      <c r="CH16" s="22"/>
      <c r="CI16" s="23">
        <f>SUM(CI9:CI14)</f>
        <v>233</v>
      </c>
      <c r="CJ16" s="24">
        <f>CI16/CI8</f>
        <v>0.2379979570990807</v>
      </c>
      <c r="CK16" s="22"/>
      <c r="CL16" s="23">
        <f>SUM(CL9:CL14)</f>
        <v>236</v>
      </c>
      <c r="CM16" s="24">
        <f t="shared" si="3"/>
        <v>0.23910840932117527</v>
      </c>
      <c r="CN16" s="22"/>
      <c r="CO16" s="83">
        <f>SUM(CO9:CO15)</f>
        <v>246</v>
      </c>
      <c r="CP16" s="24">
        <f t="shared" si="0"/>
        <v>0.25465838509316768</v>
      </c>
      <c r="CQ16" s="22"/>
      <c r="CR16" s="23">
        <f>SUM(CR9:CR15)</f>
        <v>263</v>
      </c>
      <c r="CS16" s="24">
        <f t="shared" si="1"/>
        <v>0.26809378185524974</v>
      </c>
      <c r="CT16" s="22"/>
      <c r="CU16" s="23">
        <f>SUM(CU9:CU15)</f>
        <v>267</v>
      </c>
      <c r="CV16" s="24">
        <f t="shared" si="4"/>
        <v>0.28016789087093391</v>
      </c>
      <c r="CW16" s="22"/>
      <c r="CX16" s="23">
        <f>SUM(CX9:CX15)</f>
        <v>265</v>
      </c>
      <c r="CY16" s="24">
        <f t="shared" si="2"/>
        <v>0.27806925498426022</v>
      </c>
      <c r="CZ16" s="23"/>
      <c r="DA16" s="23">
        <f>SUM(DA9:DA15)</f>
        <v>267</v>
      </c>
      <c r="DB16" s="24">
        <f t="shared" si="5"/>
        <v>0.2861736334405145</v>
      </c>
      <c r="DC16" s="23"/>
      <c r="DD16" s="23">
        <f>SUM(DD9:DD15)</f>
        <v>258</v>
      </c>
      <c r="DE16" s="24">
        <f t="shared" si="6"/>
        <v>0.27652733118971062</v>
      </c>
      <c r="DF16" s="23"/>
      <c r="DG16" s="23">
        <f>SUM(DG9:DG15)</f>
        <v>260</v>
      </c>
      <c r="DH16" s="24">
        <f t="shared" si="7"/>
        <v>0.27867095391211144</v>
      </c>
    </row>
    <row r="17" spans="1:112" s="27" customFormat="1" ht="10.15" customHeight="1">
      <c r="A17" s="22"/>
      <c r="B17" s="76" t="s">
        <v>38</v>
      </c>
      <c r="C17" s="76"/>
      <c r="D17" s="76"/>
      <c r="E17" s="76"/>
      <c r="F17" s="23">
        <v>1132</v>
      </c>
      <c r="G17" s="24">
        <f>(F17/F8)</f>
        <v>0.94728033472803352</v>
      </c>
      <c r="H17" s="23"/>
      <c r="I17" s="23">
        <v>1115</v>
      </c>
      <c r="J17" s="24">
        <f>(I17/I8)</f>
        <v>0.94491525423728817</v>
      </c>
      <c r="K17" s="25"/>
      <c r="L17" s="23">
        <v>1105</v>
      </c>
      <c r="M17" s="24">
        <f>(L17/L8)</f>
        <v>0.93882752761257438</v>
      </c>
      <c r="N17" s="26"/>
      <c r="O17" s="23">
        <v>1112</v>
      </c>
      <c r="P17" s="24">
        <f>(O17/O8)</f>
        <v>0.93366918555835432</v>
      </c>
      <c r="Q17" s="26"/>
      <c r="R17" s="23">
        <v>1114</v>
      </c>
      <c r="S17" s="24">
        <f>(R17/R8)</f>
        <v>0.92988313856427374</v>
      </c>
      <c r="T17" s="26"/>
      <c r="U17" s="23">
        <v>1117</v>
      </c>
      <c r="V17" s="24">
        <f>(U17/U8)</f>
        <v>0.92314049586776858</v>
      </c>
      <c r="W17" s="26"/>
      <c r="X17" s="23">
        <v>1098</v>
      </c>
      <c r="Y17" s="24">
        <f>(X17/X8)</f>
        <v>0.91806020066889638</v>
      </c>
      <c r="Z17" s="26"/>
      <c r="AA17" s="23">
        <v>1059</v>
      </c>
      <c r="AB17" s="24">
        <f>(AA17/AA8)</f>
        <v>0.91135972461273662</v>
      </c>
      <c r="AC17" s="26"/>
      <c r="AD17" s="23">
        <v>1055</v>
      </c>
      <c r="AE17" s="24">
        <f>(AD17/AD8)</f>
        <v>0.90713671539122953</v>
      </c>
      <c r="AF17" s="26"/>
      <c r="AG17" s="23">
        <v>1005</v>
      </c>
      <c r="AH17" s="24">
        <f>(AG17/AG8)</f>
        <v>0.90215439856373425</v>
      </c>
      <c r="AI17" s="26"/>
      <c r="AJ17" s="23">
        <v>959</v>
      </c>
      <c r="AK17" s="24">
        <f>(AJ17/AJ8)</f>
        <v>0.89043639740018565</v>
      </c>
      <c r="AL17" s="26"/>
      <c r="AM17" s="23">
        <v>930</v>
      </c>
      <c r="AN17" s="24">
        <f>(AM17/AM8)</f>
        <v>0.87818696883852687</v>
      </c>
      <c r="AO17" s="22"/>
      <c r="AP17" s="23">
        <v>890</v>
      </c>
      <c r="AQ17" s="24">
        <f>(AP17/AP8)</f>
        <v>0.87254901960784315</v>
      </c>
      <c r="AR17" s="22"/>
      <c r="AS17" s="23">
        <f>862+6</f>
        <v>868</v>
      </c>
      <c r="AT17" s="24">
        <f>(AS17/AS8)</f>
        <v>0.86196623634558089</v>
      </c>
      <c r="AU17" s="22"/>
      <c r="AV17" s="23">
        <f>827+8</f>
        <v>835</v>
      </c>
      <c r="AW17" s="24">
        <f>(AV17/AV8)</f>
        <v>0.85378323108384457</v>
      </c>
      <c r="AX17" s="22"/>
      <c r="AY17" s="23">
        <v>845</v>
      </c>
      <c r="AZ17" s="24">
        <f>(AY17/AY8)</f>
        <v>0.84669338677354711</v>
      </c>
      <c r="BA17" s="22"/>
      <c r="BB17" s="23">
        <v>827</v>
      </c>
      <c r="BC17" s="24">
        <f>(BB17/BB8)</f>
        <v>0.83959390862944161</v>
      </c>
      <c r="BD17" s="22"/>
      <c r="BE17" s="23">
        <v>819</v>
      </c>
      <c r="BF17" s="24">
        <f>(BE17/BE8)</f>
        <v>0.83231707317073167</v>
      </c>
      <c r="BG17" s="22"/>
      <c r="BH17" s="23">
        <v>815</v>
      </c>
      <c r="BI17" s="24">
        <f>(BH17/BH8)</f>
        <v>0.82573454913880451</v>
      </c>
      <c r="BJ17" s="22"/>
      <c r="BK17" s="23">
        <v>835</v>
      </c>
      <c r="BL17" s="24">
        <f>(BK17/BK8)</f>
        <v>0.82023575638506874</v>
      </c>
      <c r="BM17" s="22"/>
      <c r="BN17" s="23">
        <v>824</v>
      </c>
      <c r="BO17" s="24">
        <f>(BN17/BN8)</f>
        <v>0.81746031746031744</v>
      </c>
      <c r="BP17" s="22"/>
      <c r="BQ17" s="23">
        <v>816</v>
      </c>
      <c r="BR17" s="24">
        <f>(BQ17/BQ8)</f>
        <v>0.81032770605759685</v>
      </c>
      <c r="BS17" s="22"/>
      <c r="BT17" s="23">
        <v>820</v>
      </c>
      <c r="BU17" s="24">
        <f>(BT17/BT8)</f>
        <v>0.7976653696498055</v>
      </c>
      <c r="BV17" s="22"/>
      <c r="BW17" s="23">
        <v>801</v>
      </c>
      <c r="BX17" s="24">
        <f>(BW17/BW8)</f>
        <v>0.79072063178677199</v>
      </c>
      <c r="BY17" s="22"/>
      <c r="BZ17" s="23">
        <v>783</v>
      </c>
      <c r="CA17" s="24">
        <f>(BZ17/BZ8)</f>
        <v>0.78065802592223332</v>
      </c>
      <c r="CB17" s="22"/>
      <c r="CC17" s="23">
        <v>794</v>
      </c>
      <c r="CD17" s="24">
        <f>(CC17/CC8)</f>
        <v>0.77843137254901962</v>
      </c>
      <c r="CE17" s="22"/>
      <c r="CF17" s="23">
        <v>772</v>
      </c>
      <c r="CG17" s="24">
        <f>(CF17/CF8)</f>
        <v>0.77432296890672014</v>
      </c>
      <c r="CH17" s="22"/>
      <c r="CI17" s="23">
        <v>746</v>
      </c>
      <c r="CJ17" s="24">
        <f>CI17/CI8</f>
        <v>0.76200204290091933</v>
      </c>
      <c r="CK17" s="22"/>
      <c r="CL17" s="23">
        <v>750</v>
      </c>
      <c r="CM17" s="24">
        <f t="shared" si="3"/>
        <v>0.75987841945288759</v>
      </c>
      <c r="CN17" s="22"/>
      <c r="CO17" s="83">
        <v>715</v>
      </c>
      <c r="CP17" s="24">
        <f t="shared" si="0"/>
        <v>0.74016563146997927</v>
      </c>
      <c r="CQ17" s="22"/>
      <c r="CR17" s="23">
        <v>718</v>
      </c>
      <c r="CS17" s="24">
        <f t="shared" si="1"/>
        <v>0.73190621814475021</v>
      </c>
      <c r="CT17" s="22"/>
      <c r="CU17" s="23">
        <v>696</v>
      </c>
      <c r="CV17" s="24">
        <f t="shared" si="4"/>
        <v>0.73032528856243439</v>
      </c>
      <c r="CW17" s="22"/>
      <c r="CX17" s="23">
        <v>688</v>
      </c>
      <c r="CY17" s="24">
        <f t="shared" si="2"/>
        <v>0.72193074501573973</v>
      </c>
      <c r="CZ17" s="23"/>
      <c r="DA17" s="23">
        <v>666</v>
      </c>
      <c r="DB17" s="24">
        <f t="shared" si="5"/>
        <v>0.7138263665594855</v>
      </c>
      <c r="DC17" s="23"/>
      <c r="DD17" s="23">
        <v>648</v>
      </c>
      <c r="DE17" s="24">
        <f t="shared" si="6"/>
        <v>0.69453376205787787</v>
      </c>
      <c r="DF17" s="23"/>
      <c r="DG17" s="23">
        <v>637</v>
      </c>
      <c r="DH17" s="24">
        <f t="shared" si="7"/>
        <v>0.68274383708467312</v>
      </c>
    </row>
    <row r="18" spans="1:112" s="33" customFormat="1" ht="10.15" customHeight="1">
      <c r="A18" s="28"/>
      <c r="B18" s="130" t="s">
        <v>58</v>
      </c>
      <c r="C18" s="130"/>
      <c r="D18" s="130"/>
      <c r="E18" s="130"/>
      <c r="F18" s="29"/>
      <c r="G18" s="30"/>
      <c r="H18" s="29"/>
      <c r="I18" s="29"/>
      <c r="J18" s="30"/>
      <c r="K18" s="31"/>
      <c r="L18" s="29"/>
      <c r="M18" s="30"/>
      <c r="N18" s="32"/>
      <c r="O18" s="29"/>
      <c r="P18" s="30"/>
      <c r="Q18" s="32"/>
      <c r="R18" s="29"/>
      <c r="S18" s="30"/>
      <c r="T18" s="32"/>
      <c r="U18" s="29"/>
      <c r="V18" s="30"/>
      <c r="W18" s="32"/>
      <c r="X18" s="29"/>
      <c r="Y18" s="30"/>
      <c r="Z18" s="32"/>
      <c r="AA18" s="29"/>
      <c r="AB18" s="30"/>
      <c r="AC18" s="32"/>
      <c r="AD18" s="29"/>
      <c r="AE18" s="30"/>
      <c r="AF18" s="32"/>
      <c r="AG18" s="29"/>
      <c r="AH18" s="30"/>
      <c r="AI18" s="32"/>
      <c r="AJ18" s="29"/>
      <c r="AK18" s="30"/>
      <c r="AL18" s="32"/>
      <c r="AM18" s="29"/>
      <c r="AN18" s="30"/>
      <c r="AO18" s="28"/>
      <c r="AP18" s="29"/>
      <c r="AQ18" s="30"/>
      <c r="AR18" s="28"/>
      <c r="AS18" s="29"/>
      <c r="AT18" s="30"/>
      <c r="AU18" s="28"/>
      <c r="AV18" s="29"/>
      <c r="AW18" s="30"/>
      <c r="AX18" s="28"/>
      <c r="AY18" s="29"/>
      <c r="AZ18" s="30"/>
      <c r="BA18" s="28"/>
      <c r="BB18" s="29"/>
      <c r="BC18" s="30"/>
      <c r="BD18" s="28"/>
      <c r="BE18" s="29"/>
      <c r="BF18" s="30"/>
      <c r="BG18" s="28"/>
      <c r="BH18" s="29"/>
      <c r="BI18" s="30"/>
      <c r="BJ18" s="28"/>
      <c r="BK18" s="29"/>
      <c r="BL18" s="30"/>
      <c r="BM18" s="28"/>
      <c r="BN18" s="29"/>
      <c r="BO18" s="30"/>
      <c r="BP18" s="28"/>
      <c r="BQ18" s="29"/>
      <c r="BR18" s="30"/>
      <c r="BS18" s="28"/>
      <c r="BT18" s="29"/>
      <c r="BU18" s="30"/>
      <c r="BV18" s="28"/>
      <c r="BW18" s="29"/>
      <c r="BX18" s="30"/>
      <c r="BY18" s="28"/>
      <c r="BZ18" s="29"/>
      <c r="CA18" s="30"/>
      <c r="CB18" s="28"/>
      <c r="CC18" s="89" t="s">
        <v>59</v>
      </c>
      <c r="CD18" s="89" t="s">
        <v>60</v>
      </c>
      <c r="CE18" s="28"/>
      <c r="CF18" s="89" t="s">
        <v>59</v>
      </c>
      <c r="CG18" s="89" t="s">
        <v>61</v>
      </c>
      <c r="CH18" s="28"/>
      <c r="CI18" s="89" t="s">
        <v>59</v>
      </c>
      <c r="CJ18" s="89" t="s">
        <v>62</v>
      </c>
      <c r="CK18" s="28"/>
      <c r="CL18" s="89" t="s">
        <v>59</v>
      </c>
      <c r="CM18" s="89" t="s">
        <v>63</v>
      </c>
      <c r="CN18" s="28"/>
      <c r="CO18" s="83">
        <v>5</v>
      </c>
      <c r="CP18" s="30">
        <f t="shared" si="0"/>
        <v>5.175983436853002E-3</v>
      </c>
      <c r="CQ18" s="28"/>
      <c r="CR18" s="23">
        <v>0</v>
      </c>
      <c r="CS18" s="24">
        <f t="shared" si="1"/>
        <v>0</v>
      </c>
      <c r="CT18" s="28"/>
      <c r="CU18" s="23">
        <v>0</v>
      </c>
      <c r="CV18" s="24">
        <f t="shared" si="4"/>
        <v>0</v>
      </c>
      <c r="CW18" s="28"/>
      <c r="CX18" s="23">
        <v>0</v>
      </c>
      <c r="CY18" s="24">
        <f t="shared" si="2"/>
        <v>0</v>
      </c>
      <c r="CZ18" s="23"/>
      <c r="DA18" s="23">
        <v>0</v>
      </c>
      <c r="DB18" s="24">
        <f t="shared" si="5"/>
        <v>0</v>
      </c>
      <c r="DC18" s="23"/>
      <c r="DD18" s="23">
        <v>0</v>
      </c>
      <c r="DE18" s="24">
        <f t="shared" si="6"/>
        <v>0</v>
      </c>
      <c r="DF18" s="23"/>
      <c r="DG18" s="23">
        <v>0</v>
      </c>
      <c r="DH18" s="24">
        <f t="shared" si="7"/>
        <v>0</v>
      </c>
    </row>
    <row r="19" spans="1:112" s="44" customFormat="1" ht="15" customHeight="1">
      <c r="A19" s="115" t="s">
        <v>8</v>
      </c>
      <c r="B19" s="115"/>
      <c r="C19" s="115"/>
      <c r="D19" s="115"/>
      <c r="E19" s="115"/>
      <c r="F19" s="56">
        <f>SUM(F27:F28)</f>
        <v>274</v>
      </c>
      <c r="G19" s="57"/>
      <c r="H19" s="56"/>
      <c r="I19" s="56">
        <f>SUM(I27:I28)</f>
        <v>268</v>
      </c>
      <c r="J19" s="57"/>
      <c r="K19" s="58"/>
      <c r="L19" s="56">
        <f>SUM(L27:L28)</f>
        <v>271</v>
      </c>
      <c r="M19" s="57"/>
      <c r="N19" s="59"/>
      <c r="O19" s="56">
        <f>SUM(O27:O28)</f>
        <v>266</v>
      </c>
      <c r="P19" s="57"/>
      <c r="Q19" s="59"/>
      <c r="R19" s="56">
        <f>SUM(R27:R28)</f>
        <v>257</v>
      </c>
      <c r="S19" s="57"/>
      <c r="T19" s="59"/>
      <c r="U19" s="56">
        <f>SUM(U27:U28)</f>
        <v>245</v>
      </c>
      <c r="V19" s="57"/>
      <c r="W19" s="59"/>
      <c r="X19" s="56">
        <f>SUM(X27:X28)</f>
        <v>257</v>
      </c>
      <c r="Y19" s="57"/>
      <c r="Z19" s="59"/>
      <c r="AA19" s="56">
        <f>SUM(AA27:AA28)</f>
        <v>265</v>
      </c>
      <c r="AB19" s="57"/>
      <c r="AC19" s="59"/>
      <c r="AD19" s="56">
        <f>SUM(AD27:AD28)</f>
        <v>276</v>
      </c>
      <c r="AE19" s="57"/>
      <c r="AF19" s="59"/>
      <c r="AG19" s="56">
        <f>SUM(AG27:AG28)</f>
        <v>309</v>
      </c>
      <c r="AH19" s="57"/>
      <c r="AI19" s="59"/>
      <c r="AJ19" s="56">
        <f>SUM(AJ27:AJ28)</f>
        <v>348</v>
      </c>
      <c r="AK19" s="57"/>
      <c r="AL19" s="59"/>
      <c r="AM19" s="56">
        <f>SUM(AM27:AM28)</f>
        <v>337</v>
      </c>
      <c r="AN19" s="57"/>
      <c r="AP19" s="56">
        <f>SUM(AP27:AP28)</f>
        <v>335</v>
      </c>
      <c r="AQ19" s="57"/>
      <c r="AS19" s="56">
        <f>SUM(AS27:AS28)</f>
        <v>362</v>
      </c>
      <c r="AT19" s="57"/>
      <c r="AV19" s="56">
        <f>SUM(AV27:AV28)</f>
        <v>361</v>
      </c>
      <c r="AW19" s="57"/>
      <c r="AY19" s="56">
        <f>SUM(AY27:AY28)</f>
        <v>360</v>
      </c>
      <c r="AZ19" s="57"/>
      <c r="BB19" s="56">
        <f>SUM(BB27:BB28)</f>
        <v>328</v>
      </c>
      <c r="BC19" s="57"/>
      <c r="BE19" s="56">
        <f>SUM(BE27:BE28)</f>
        <v>308</v>
      </c>
      <c r="BF19" s="57"/>
      <c r="BH19" s="56">
        <f>SUM(BH27:BH28)</f>
        <v>327</v>
      </c>
      <c r="BI19" s="57"/>
      <c r="BK19" s="56">
        <f>SUM(BK27:BK28)</f>
        <v>328</v>
      </c>
      <c r="BL19" s="57"/>
      <c r="BN19" s="56">
        <f>SUM(BN27:BN28)</f>
        <v>300</v>
      </c>
      <c r="BO19" s="57"/>
      <c r="BQ19" s="56">
        <f>SUM(BQ27:BQ28)</f>
        <v>286</v>
      </c>
      <c r="BR19" s="57"/>
      <c r="BT19" s="56">
        <f>SUM(BT27:BT28)</f>
        <v>303</v>
      </c>
      <c r="BU19" s="57"/>
      <c r="BW19" s="63">
        <f>SUM(BW27:BW28)</f>
        <v>293</v>
      </c>
      <c r="BX19" s="64"/>
      <c r="BY19" s="65"/>
      <c r="BZ19" s="63">
        <f>SUM(BZ27:BZ28)</f>
        <v>315</v>
      </c>
      <c r="CA19" s="64"/>
      <c r="CB19" s="65"/>
      <c r="CC19" s="63">
        <f>SUM(CC27:CC28)</f>
        <v>369</v>
      </c>
      <c r="CD19" s="64"/>
      <c r="CE19" s="65"/>
      <c r="CF19" s="63">
        <f>SUM(CF27:CF28)</f>
        <v>376</v>
      </c>
      <c r="CG19" s="64"/>
      <c r="CH19" s="65"/>
      <c r="CI19" s="63">
        <f>SUM(CI28,CI20:CI25)</f>
        <v>383</v>
      </c>
      <c r="CJ19" s="57"/>
      <c r="CK19" s="65"/>
      <c r="CL19" s="63">
        <f>CL20+CL21+CL22+CL23+CL24+CL25+CL28</f>
        <v>369</v>
      </c>
      <c r="CM19" s="57"/>
      <c r="CN19" s="65"/>
      <c r="CO19" s="85">
        <f>CO27+CO28+CO29</f>
        <v>343</v>
      </c>
      <c r="CP19" s="57"/>
      <c r="CQ19" s="65"/>
      <c r="CR19" s="63">
        <f>CR27+CR28+CR29</f>
        <v>298</v>
      </c>
      <c r="CS19" s="57"/>
      <c r="CT19" s="65"/>
      <c r="CU19" s="63">
        <f>CU27+CU28+CU29</f>
        <v>256</v>
      </c>
      <c r="CV19" s="57"/>
      <c r="CW19" s="65"/>
      <c r="CX19" s="63">
        <f>CX27+CX28+CX29</f>
        <v>223</v>
      </c>
      <c r="CY19" s="57"/>
      <c r="CZ19" s="63"/>
      <c r="DA19" s="63">
        <f>DA27+DA28+DA29</f>
        <v>207</v>
      </c>
      <c r="DB19" s="57"/>
      <c r="DC19" s="63"/>
      <c r="DD19" s="63">
        <f>DD27+DD28+DD29</f>
        <v>213</v>
      </c>
      <c r="DE19" s="57"/>
      <c r="DF19" s="63"/>
      <c r="DG19" s="63">
        <f>DG27+DG28+DG29</f>
        <v>216</v>
      </c>
      <c r="DH19" s="57"/>
    </row>
    <row r="20" spans="1:112" s="27" customFormat="1" ht="10.15" customHeight="1">
      <c r="B20" s="118" t="s">
        <v>55</v>
      </c>
      <c r="C20" s="118"/>
      <c r="D20" s="118"/>
      <c r="E20" s="118"/>
      <c r="F20" s="34">
        <v>14</v>
      </c>
      <c r="G20" s="35">
        <f>(F20/F19)</f>
        <v>5.1094890510948905E-2</v>
      </c>
      <c r="H20" s="34"/>
      <c r="I20" s="34">
        <v>17</v>
      </c>
      <c r="J20" s="35">
        <f>(I20/I19)</f>
        <v>6.3432835820895525E-2</v>
      </c>
      <c r="K20" s="36"/>
      <c r="L20" s="34">
        <v>16</v>
      </c>
      <c r="M20" s="35">
        <f>(L20/L19)</f>
        <v>5.9040590405904057E-2</v>
      </c>
      <c r="N20" s="37"/>
      <c r="O20" s="34">
        <v>13</v>
      </c>
      <c r="P20" s="35">
        <f>(O20/O19)</f>
        <v>4.8872180451127817E-2</v>
      </c>
      <c r="Q20" s="37"/>
      <c r="R20" s="34">
        <v>10</v>
      </c>
      <c r="S20" s="35">
        <f>(R20/R19)</f>
        <v>3.8910505836575876E-2</v>
      </c>
      <c r="T20" s="37"/>
      <c r="U20" s="34">
        <v>7</v>
      </c>
      <c r="V20" s="35">
        <f>(U20/U19)</f>
        <v>2.8571428571428571E-2</v>
      </c>
      <c r="W20" s="37"/>
      <c r="X20" s="34">
        <v>8</v>
      </c>
      <c r="Y20" s="35">
        <f>(X20/X19)</f>
        <v>3.1128404669260701E-2</v>
      </c>
      <c r="Z20" s="37"/>
      <c r="AA20" s="34">
        <v>10</v>
      </c>
      <c r="AB20" s="35">
        <f>(AA20/AA19)</f>
        <v>3.7735849056603772E-2</v>
      </c>
      <c r="AC20" s="37"/>
      <c r="AD20" s="34">
        <v>14</v>
      </c>
      <c r="AE20" s="35">
        <f>(AD20/AD19)</f>
        <v>5.0724637681159424E-2</v>
      </c>
      <c r="AF20" s="37"/>
      <c r="AG20" s="34">
        <v>16</v>
      </c>
      <c r="AH20" s="35">
        <f>(AG20/AG19)</f>
        <v>5.1779935275080909E-2</v>
      </c>
      <c r="AI20" s="37"/>
      <c r="AJ20" s="34">
        <v>14</v>
      </c>
      <c r="AK20" s="35">
        <f>(AJ20/AJ19)</f>
        <v>4.0229885057471264E-2</v>
      </c>
      <c r="AL20" s="37"/>
      <c r="AM20" s="34">
        <v>12</v>
      </c>
      <c r="AN20" s="35">
        <f>(AM20/AM19)</f>
        <v>3.5608308605341248E-2</v>
      </c>
      <c r="AP20" s="34">
        <v>6</v>
      </c>
      <c r="AQ20" s="35">
        <f>(AP20/AP19)</f>
        <v>1.7910447761194031E-2</v>
      </c>
      <c r="AS20" s="34">
        <v>6</v>
      </c>
      <c r="AT20" s="35">
        <f>(AS20/AS19)</f>
        <v>1.6574585635359115E-2</v>
      </c>
      <c r="AV20" s="34">
        <v>6</v>
      </c>
      <c r="AW20" s="35">
        <f>(AV20/AV19)</f>
        <v>1.662049861495845E-2</v>
      </c>
      <c r="AY20" s="34">
        <v>9</v>
      </c>
      <c r="AZ20" s="35">
        <f>(AY20/AY19)</f>
        <v>2.5000000000000001E-2</v>
      </c>
      <c r="BB20" s="34">
        <v>8</v>
      </c>
      <c r="BC20" s="35">
        <f>(BB20/BB19)</f>
        <v>2.4390243902439025E-2</v>
      </c>
      <c r="BE20" s="34">
        <v>6</v>
      </c>
      <c r="BF20" s="35">
        <f>(BE20/BE19)</f>
        <v>1.948051948051948E-2</v>
      </c>
      <c r="BH20" s="34">
        <v>7</v>
      </c>
      <c r="BI20" s="35">
        <f>(BH20/BH19)</f>
        <v>2.1406727828746176E-2</v>
      </c>
      <c r="BK20" s="34">
        <v>8</v>
      </c>
      <c r="BL20" s="35">
        <f>(BK20/BK19)</f>
        <v>2.4390243902439025E-2</v>
      </c>
      <c r="BN20" s="34">
        <v>7</v>
      </c>
      <c r="BO20" s="35">
        <f>(BN20/BN19)</f>
        <v>2.3333333333333334E-2</v>
      </c>
      <c r="BQ20" s="34">
        <v>8</v>
      </c>
      <c r="BR20" s="35">
        <f>(BQ20/BQ19)</f>
        <v>2.7972027972027972E-2</v>
      </c>
      <c r="BT20" s="34">
        <v>8</v>
      </c>
      <c r="BU20" s="35">
        <f>(BT20/BT19)</f>
        <v>2.6402640264026403E-2</v>
      </c>
      <c r="BW20" s="34">
        <v>8</v>
      </c>
      <c r="BX20" s="35">
        <f>(BW20/BW19)</f>
        <v>2.7303754266211604E-2</v>
      </c>
      <c r="BZ20" s="34">
        <v>13</v>
      </c>
      <c r="CA20" s="35">
        <f>(BZ20/BZ19)</f>
        <v>4.1269841269841269E-2</v>
      </c>
      <c r="CC20" s="34">
        <v>15</v>
      </c>
      <c r="CD20" s="35">
        <f>(CC20/CC19)</f>
        <v>4.065040650406504E-2</v>
      </c>
      <c r="CF20" s="34">
        <v>13</v>
      </c>
      <c r="CG20" s="35">
        <f>(CF20/CF19)</f>
        <v>3.4574468085106384E-2</v>
      </c>
      <c r="CI20" s="34">
        <v>11</v>
      </c>
      <c r="CJ20" s="35">
        <f>CI20/CI19</f>
        <v>2.8720626631853787E-2</v>
      </c>
      <c r="CL20" s="34">
        <v>8</v>
      </c>
      <c r="CM20" s="35">
        <f>CL20/369</f>
        <v>2.1680216802168022E-2</v>
      </c>
      <c r="CO20" s="86">
        <v>5</v>
      </c>
      <c r="CP20" s="35">
        <f t="shared" ref="CP20:CP29" si="8">CO20/343</f>
        <v>1.4577259475218658E-2</v>
      </c>
      <c r="CR20" s="34">
        <v>7</v>
      </c>
      <c r="CS20" s="35">
        <f t="shared" ref="CS20:CS29" si="9">CR20/$CR$19</f>
        <v>2.3489932885906041E-2</v>
      </c>
      <c r="CU20" s="34">
        <v>6</v>
      </c>
      <c r="CV20" s="35">
        <f>CU20/$CX$19</f>
        <v>2.6905829596412557E-2</v>
      </c>
      <c r="CX20" s="34">
        <v>6</v>
      </c>
      <c r="CY20" s="35">
        <f t="shared" ref="CY20:CY29" si="10">CX20/$CX$19</f>
        <v>2.6905829596412557E-2</v>
      </c>
      <c r="CZ20" s="34"/>
      <c r="DA20" s="34">
        <v>5</v>
      </c>
      <c r="DB20" s="35">
        <f>DA20/$DA$19</f>
        <v>2.4154589371980676E-2</v>
      </c>
      <c r="DC20" s="34"/>
      <c r="DD20" s="34">
        <v>4</v>
      </c>
      <c r="DE20" s="35">
        <f>DD20/$DA$19</f>
        <v>1.932367149758454E-2</v>
      </c>
      <c r="DF20" s="34"/>
      <c r="DG20" s="34">
        <v>3</v>
      </c>
      <c r="DH20" s="35">
        <f>DG20/$DA$19</f>
        <v>1.4492753623188406E-2</v>
      </c>
    </row>
    <row r="21" spans="1:112" s="27" customFormat="1" ht="10.15" customHeight="1">
      <c r="B21" s="118" t="s">
        <v>9</v>
      </c>
      <c r="C21" s="118"/>
      <c r="D21" s="118"/>
      <c r="E21" s="118"/>
      <c r="F21" s="34">
        <v>1</v>
      </c>
      <c r="G21" s="35">
        <f>(F21/F19)</f>
        <v>3.6496350364963502E-3</v>
      </c>
      <c r="H21" s="34"/>
      <c r="I21" s="34">
        <v>1</v>
      </c>
      <c r="J21" s="35">
        <f>(I21/I19)</f>
        <v>3.7313432835820895E-3</v>
      </c>
      <c r="K21" s="36"/>
      <c r="L21" s="34">
        <v>2</v>
      </c>
      <c r="M21" s="35">
        <f>(L21/L19)</f>
        <v>7.3800738007380072E-3</v>
      </c>
      <c r="N21" s="37"/>
      <c r="O21" s="34">
        <v>4</v>
      </c>
      <c r="P21" s="35">
        <f>(O21/O19)</f>
        <v>1.5037593984962405E-2</v>
      </c>
      <c r="Q21" s="37"/>
      <c r="R21" s="34">
        <v>4</v>
      </c>
      <c r="S21" s="35">
        <f>(R21/R19)</f>
        <v>1.556420233463035E-2</v>
      </c>
      <c r="T21" s="37"/>
      <c r="U21" s="34">
        <v>3</v>
      </c>
      <c r="V21" s="35">
        <f>(U21/U19)</f>
        <v>1.2244897959183673E-2</v>
      </c>
      <c r="W21" s="37"/>
      <c r="X21" s="34">
        <v>2</v>
      </c>
      <c r="Y21" s="35">
        <f>(X21/X19)</f>
        <v>7.7821011673151752E-3</v>
      </c>
      <c r="Z21" s="37"/>
      <c r="AA21" s="34">
        <v>2</v>
      </c>
      <c r="AB21" s="35">
        <f>(AA21/AA19)</f>
        <v>7.5471698113207548E-3</v>
      </c>
      <c r="AC21" s="37"/>
      <c r="AD21" s="34">
        <v>5</v>
      </c>
      <c r="AE21" s="35">
        <f>(AD21/AD19)</f>
        <v>1.8115942028985508E-2</v>
      </c>
      <c r="AF21" s="37"/>
      <c r="AG21" s="34">
        <v>4</v>
      </c>
      <c r="AH21" s="35">
        <f>(AG21/AG19)</f>
        <v>1.2944983818770227E-2</v>
      </c>
      <c r="AI21" s="37"/>
      <c r="AJ21" s="34">
        <v>5</v>
      </c>
      <c r="AK21" s="35">
        <f>(AJ21/AJ19)</f>
        <v>1.4367816091954023E-2</v>
      </c>
      <c r="AL21" s="37"/>
      <c r="AM21" s="34">
        <v>3</v>
      </c>
      <c r="AN21" s="35">
        <f>(AM21/AM19)</f>
        <v>8.9020771513353119E-3</v>
      </c>
      <c r="AP21" s="34">
        <v>4</v>
      </c>
      <c r="AQ21" s="35">
        <f>(AP21/AP19)</f>
        <v>1.1940298507462687E-2</v>
      </c>
      <c r="AS21" s="34">
        <v>3</v>
      </c>
      <c r="AT21" s="35">
        <f>(AS21/AS19)</f>
        <v>8.2872928176795577E-3</v>
      </c>
      <c r="AV21" s="34">
        <v>2</v>
      </c>
      <c r="AW21" s="35">
        <f>(AV21/AV19)</f>
        <v>5.5401662049861496E-3</v>
      </c>
      <c r="AY21" s="34">
        <v>0</v>
      </c>
      <c r="AZ21" s="35">
        <f>(AY21/AY19)</f>
        <v>0</v>
      </c>
      <c r="BB21" s="34">
        <v>2</v>
      </c>
      <c r="BC21" s="35">
        <f>(BB21/BB19)</f>
        <v>6.0975609756097563E-3</v>
      </c>
      <c r="BE21" s="34">
        <v>2</v>
      </c>
      <c r="BF21" s="35">
        <f>(BE21/BE19)</f>
        <v>6.4935064935064939E-3</v>
      </c>
      <c r="BH21" s="34">
        <v>1</v>
      </c>
      <c r="BI21" s="35">
        <f>(BH21/BH19)</f>
        <v>3.0581039755351682E-3</v>
      </c>
      <c r="BK21" s="34">
        <v>0</v>
      </c>
      <c r="BL21" s="35">
        <f>(BK21/BK19)</f>
        <v>0</v>
      </c>
      <c r="BN21" s="34">
        <v>0</v>
      </c>
      <c r="BO21" s="35">
        <f>(BN21/BN19)</f>
        <v>0</v>
      </c>
      <c r="BQ21" s="34">
        <v>0</v>
      </c>
      <c r="BR21" s="35">
        <f>(BQ21/BQ19)</f>
        <v>0</v>
      </c>
      <c r="BT21" s="34">
        <v>0</v>
      </c>
      <c r="BU21" s="35">
        <f>(BT21/BT19)</f>
        <v>0</v>
      </c>
      <c r="BW21" s="34">
        <v>1</v>
      </c>
      <c r="BX21" s="35">
        <f>(BW21/BW19)</f>
        <v>3.4129692832764505E-3</v>
      </c>
      <c r="BZ21" s="34">
        <v>1</v>
      </c>
      <c r="CA21" s="35">
        <f>(BZ21/BZ19)</f>
        <v>3.1746031746031746E-3</v>
      </c>
      <c r="CC21" s="34">
        <v>1</v>
      </c>
      <c r="CD21" s="35">
        <f>(CC21/CC19)</f>
        <v>2.7100271002710027E-3</v>
      </c>
      <c r="CF21" s="34">
        <v>1</v>
      </c>
      <c r="CG21" s="35">
        <f>(CF21/CF19)</f>
        <v>2.6595744680851063E-3</v>
      </c>
      <c r="CI21" s="34">
        <v>1</v>
      </c>
      <c r="CJ21" s="35">
        <f>CI21/CI19</f>
        <v>2.6109660574412533E-3</v>
      </c>
      <c r="CL21" s="34">
        <v>1</v>
      </c>
      <c r="CM21" s="35">
        <f t="shared" ref="CM21:CM28" si="11">CL21/369</f>
        <v>2.7100271002710027E-3</v>
      </c>
      <c r="CO21" s="86">
        <v>1</v>
      </c>
      <c r="CP21" s="35">
        <f t="shared" si="8"/>
        <v>2.9154518950437317E-3</v>
      </c>
      <c r="CR21" s="34">
        <v>1</v>
      </c>
      <c r="CS21" s="35">
        <f t="shared" si="9"/>
        <v>3.3557046979865771E-3</v>
      </c>
      <c r="CU21" s="34">
        <v>1</v>
      </c>
      <c r="CV21" s="35">
        <f t="shared" ref="CV21:CV26" si="12">CU21/$CX$19</f>
        <v>4.4843049327354259E-3</v>
      </c>
      <c r="CX21" s="34">
        <v>1</v>
      </c>
      <c r="CY21" s="35">
        <f t="shared" si="10"/>
        <v>4.4843049327354259E-3</v>
      </c>
      <c r="CZ21" s="34"/>
      <c r="DA21" s="34">
        <v>1</v>
      </c>
      <c r="DB21" s="35">
        <f t="shared" ref="DB21:DB29" si="13">DA21/$DA$19</f>
        <v>4.830917874396135E-3</v>
      </c>
      <c r="DC21" s="34"/>
      <c r="DD21" s="34">
        <v>1</v>
      </c>
      <c r="DE21" s="35">
        <f t="shared" ref="DE21:DE29" si="14">DD21/$DA$19</f>
        <v>4.830917874396135E-3</v>
      </c>
      <c r="DF21" s="34"/>
      <c r="DG21" s="34">
        <v>1</v>
      </c>
      <c r="DH21" s="35">
        <f t="shared" ref="DH21:DH29" si="15">DG21/$DA$19</f>
        <v>4.830917874396135E-3</v>
      </c>
    </row>
    <row r="22" spans="1:112" s="27" customFormat="1" ht="10.15" customHeight="1">
      <c r="B22" s="118" t="s">
        <v>32</v>
      </c>
      <c r="C22" s="118"/>
      <c r="D22" s="118"/>
      <c r="E22" s="118"/>
      <c r="F22" s="34">
        <v>31</v>
      </c>
      <c r="G22" s="35">
        <f>(F22/F19)</f>
        <v>0.11313868613138686</v>
      </c>
      <c r="H22" s="34"/>
      <c r="I22" s="34">
        <v>30</v>
      </c>
      <c r="J22" s="35">
        <f>(I22/I19)</f>
        <v>0.11194029850746269</v>
      </c>
      <c r="K22" s="36"/>
      <c r="L22" s="34">
        <v>34</v>
      </c>
      <c r="M22" s="35">
        <f>(L22/L19)</f>
        <v>0.12546125461254612</v>
      </c>
      <c r="N22" s="37"/>
      <c r="O22" s="34">
        <v>35</v>
      </c>
      <c r="P22" s="35">
        <f>(O22/O19)</f>
        <v>0.13157894736842105</v>
      </c>
      <c r="Q22" s="37"/>
      <c r="R22" s="34">
        <v>32</v>
      </c>
      <c r="S22" s="35">
        <f>(R22/R19)</f>
        <v>0.1245136186770428</v>
      </c>
      <c r="T22" s="37"/>
      <c r="U22" s="34">
        <v>24</v>
      </c>
      <c r="V22" s="35">
        <f>(U22/U19)</f>
        <v>9.7959183673469383E-2</v>
      </c>
      <c r="W22" s="37"/>
      <c r="X22" s="34">
        <v>28</v>
      </c>
      <c r="Y22" s="35">
        <f>(X22/X19)</f>
        <v>0.10894941634241245</v>
      </c>
      <c r="Z22" s="37"/>
      <c r="AA22" s="34">
        <v>31</v>
      </c>
      <c r="AB22" s="35">
        <f>(AA22/AA19)</f>
        <v>0.1169811320754717</v>
      </c>
      <c r="AC22" s="37"/>
      <c r="AD22" s="34">
        <v>34</v>
      </c>
      <c r="AE22" s="35">
        <f>(AD22/AD19)</f>
        <v>0.12318840579710146</v>
      </c>
      <c r="AF22" s="37"/>
      <c r="AG22" s="34">
        <v>42</v>
      </c>
      <c r="AH22" s="35">
        <f>(AG22/AG19)</f>
        <v>0.13592233009708737</v>
      </c>
      <c r="AI22" s="37"/>
      <c r="AJ22" s="34">
        <v>47</v>
      </c>
      <c r="AK22" s="35">
        <f>(AJ22/AJ19)</f>
        <v>0.13505747126436782</v>
      </c>
      <c r="AL22" s="37"/>
      <c r="AM22" s="34">
        <v>50</v>
      </c>
      <c r="AN22" s="35">
        <f>(AM22/AM19)</f>
        <v>0.14836795252225518</v>
      </c>
      <c r="AP22" s="34">
        <v>53</v>
      </c>
      <c r="AQ22" s="35">
        <f>(AP22/AP19)</f>
        <v>0.15820895522388059</v>
      </c>
      <c r="AS22" s="34">
        <v>60</v>
      </c>
      <c r="AT22" s="35">
        <f>(AS22/AS19)</f>
        <v>0.16574585635359115</v>
      </c>
      <c r="AV22" s="34">
        <v>61</v>
      </c>
      <c r="AW22" s="35">
        <f>(AV22/AV19)</f>
        <v>0.16897506925207756</v>
      </c>
      <c r="AY22" s="34">
        <v>58</v>
      </c>
      <c r="AZ22" s="35">
        <f>(AY22/AY19)</f>
        <v>0.16111111111111112</v>
      </c>
      <c r="BB22" s="34">
        <v>64</v>
      </c>
      <c r="BC22" s="35">
        <f>(BB22/BB19)</f>
        <v>0.1951219512195122</v>
      </c>
      <c r="BE22" s="34">
        <v>71</v>
      </c>
      <c r="BF22" s="35">
        <f>(BE22/BE19)</f>
        <v>0.23051948051948051</v>
      </c>
      <c r="BH22" s="34">
        <v>75</v>
      </c>
      <c r="BI22" s="35">
        <f>(BH22/BH19)</f>
        <v>0.22935779816513763</v>
      </c>
      <c r="BK22" s="34">
        <v>70</v>
      </c>
      <c r="BL22" s="35">
        <f>(BK22/BK19)</f>
        <v>0.21341463414634146</v>
      </c>
      <c r="BN22" s="34">
        <v>60</v>
      </c>
      <c r="BO22" s="35">
        <f>(BN22/BN19)</f>
        <v>0.2</v>
      </c>
      <c r="BQ22" s="34">
        <v>62</v>
      </c>
      <c r="BR22" s="35">
        <f>(BQ22/BQ19)</f>
        <v>0.21678321678321677</v>
      </c>
      <c r="BT22" s="34">
        <v>62</v>
      </c>
      <c r="BU22" s="35">
        <f>(BT22/BT19)</f>
        <v>0.20462046204620463</v>
      </c>
      <c r="BW22" s="34">
        <v>60</v>
      </c>
      <c r="BX22" s="35">
        <f>(BW22/BW19)</f>
        <v>0.20477815699658702</v>
      </c>
      <c r="BZ22" s="34">
        <v>71</v>
      </c>
      <c r="CA22" s="35">
        <f>(BZ22/BZ19)</f>
        <v>0.2253968253968254</v>
      </c>
      <c r="CC22" s="34">
        <v>89</v>
      </c>
      <c r="CD22" s="35">
        <f>(CC22/CC19)</f>
        <v>0.24119241192411925</v>
      </c>
      <c r="CF22" s="34">
        <v>93</v>
      </c>
      <c r="CG22" s="35">
        <f>(CF22/CF19)</f>
        <v>0.2473404255319149</v>
      </c>
      <c r="CI22" s="34">
        <v>99</v>
      </c>
      <c r="CJ22" s="35">
        <f>CI22/CI19</f>
        <v>0.25848563968668409</v>
      </c>
      <c r="CL22" s="34">
        <v>100</v>
      </c>
      <c r="CM22" s="35">
        <f t="shared" si="11"/>
        <v>0.27100271002710025</v>
      </c>
      <c r="CO22" s="86">
        <v>63</v>
      </c>
      <c r="CP22" s="35">
        <f t="shared" si="8"/>
        <v>0.18367346938775511</v>
      </c>
      <c r="CR22" s="34">
        <v>51</v>
      </c>
      <c r="CS22" s="35">
        <f t="shared" si="9"/>
        <v>0.17114093959731544</v>
      </c>
      <c r="CU22" s="34">
        <v>38</v>
      </c>
      <c r="CV22" s="35">
        <f t="shared" si="12"/>
        <v>0.17040358744394618</v>
      </c>
      <c r="CX22" s="34">
        <v>43</v>
      </c>
      <c r="CY22" s="35">
        <f t="shared" si="10"/>
        <v>0.19282511210762332</v>
      </c>
      <c r="CZ22" s="34"/>
      <c r="DA22" s="34">
        <v>46</v>
      </c>
      <c r="DB22" s="35">
        <f t="shared" si="13"/>
        <v>0.22222222222222221</v>
      </c>
      <c r="DC22" s="34"/>
      <c r="DD22" s="34">
        <v>46</v>
      </c>
      <c r="DE22" s="35">
        <f t="shared" si="14"/>
        <v>0.22222222222222221</v>
      </c>
      <c r="DF22" s="34"/>
      <c r="DG22" s="34">
        <v>48</v>
      </c>
      <c r="DH22" s="35">
        <f t="shared" si="15"/>
        <v>0.2318840579710145</v>
      </c>
    </row>
    <row r="23" spans="1:112" s="27" customFormat="1" ht="10.15" customHeight="1">
      <c r="B23" s="118" t="s">
        <v>10</v>
      </c>
      <c r="C23" s="118"/>
      <c r="D23" s="118"/>
      <c r="E23" s="118"/>
      <c r="F23" s="34">
        <v>9</v>
      </c>
      <c r="G23" s="35">
        <f>(F23/F19)</f>
        <v>3.2846715328467155E-2</v>
      </c>
      <c r="H23" s="34"/>
      <c r="I23" s="34">
        <v>6</v>
      </c>
      <c r="J23" s="35">
        <f>(I23/I19)</f>
        <v>2.2388059701492536E-2</v>
      </c>
      <c r="K23" s="36"/>
      <c r="L23" s="34">
        <v>9</v>
      </c>
      <c r="M23" s="35">
        <f>(L23/L19)</f>
        <v>3.3210332103321034E-2</v>
      </c>
      <c r="N23" s="37"/>
      <c r="O23" s="34">
        <v>13</v>
      </c>
      <c r="P23" s="35">
        <f>(O23/O19)</f>
        <v>4.8872180451127817E-2</v>
      </c>
      <c r="Q23" s="37"/>
      <c r="R23" s="34">
        <v>14</v>
      </c>
      <c r="S23" s="35">
        <f>(R23/R19)</f>
        <v>5.4474708171206226E-2</v>
      </c>
      <c r="T23" s="37"/>
      <c r="U23" s="34">
        <v>13</v>
      </c>
      <c r="V23" s="35">
        <f>(U23/U19)</f>
        <v>5.3061224489795916E-2</v>
      </c>
      <c r="W23" s="37"/>
      <c r="X23" s="34">
        <v>13</v>
      </c>
      <c r="Y23" s="35">
        <f>(X23/X19)</f>
        <v>5.0583657587548639E-2</v>
      </c>
      <c r="Z23" s="37"/>
      <c r="AA23" s="34">
        <v>16</v>
      </c>
      <c r="AB23" s="35">
        <f>(AA23/AA19)</f>
        <v>6.0377358490566038E-2</v>
      </c>
      <c r="AC23" s="37"/>
      <c r="AD23" s="34">
        <v>11</v>
      </c>
      <c r="AE23" s="35">
        <f>(AD23/AD19)</f>
        <v>3.9855072463768113E-2</v>
      </c>
      <c r="AF23" s="37"/>
      <c r="AG23" s="34">
        <v>10</v>
      </c>
      <c r="AH23" s="35">
        <f>(AG23/AG19)</f>
        <v>3.2362459546925564E-2</v>
      </c>
      <c r="AI23" s="37"/>
      <c r="AJ23" s="34">
        <v>12</v>
      </c>
      <c r="AK23" s="35">
        <f>(AJ23/AJ19)</f>
        <v>3.4482758620689655E-2</v>
      </c>
      <c r="AL23" s="37"/>
      <c r="AM23" s="34">
        <v>11</v>
      </c>
      <c r="AN23" s="35">
        <f>(AM23/AM19)</f>
        <v>3.2640949554896145E-2</v>
      </c>
      <c r="AP23" s="34">
        <v>11</v>
      </c>
      <c r="AQ23" s="35">
        <f>(AP23/AP19)</f>
        <v>3.2835820895522387E-2</v>
      </c>
      <c r="AS23" s="34">
        <v>14</v>
      </c>
      <c r="AT23" s="35">
        <f>(AS23/AS19)</f>
        <v>3.8674033149171269E-2</v>
      </c>
      <c r="AV23" s="34">
        <v>14</v>
      </c>
      <c r="AW23" s="35">
        <f>(AV23/AV19)</f>
        <v>3.8781163434903045E-2</v>
      </c>
      <c r="AY23" s="34">
        <v>13</v>
      </c>
      <c r="AZ23" s="35">
        <f>(AY23/AY19)</f>
        <v>3.6111111111111108E-2</v>
      </c>
      <c r="BB23" s="34">
        <v>12</v>
      </c>
      <c r="BC23" s="35">
        <f>(BB23/BB19)</f>
        <v>3.6585365853658534E-2</v>
      </c>
      <c r="BE23" s="34">
        <v>12</v>
      </c>
      <c r="BF23" s="35">
        <f>(BE23/BE19)</f>
        <v>3.896103896103896E-2</v>
      </c>
      <c r="BH23" s="34">
        <v>13</v>
      </c>
      <c r="BI23" s="35">
        <f>(BH23/BH19)</f>
        <v>3.9755351681957186E-2</v>
      </c>
      <c r="BK23" s="34">
        <v>13</v>
      </c>
      <c r="BL23" s="35">
        <f>(BK23/BK19)</f>
        <v>3.9634146341463415E-2</v>
      </c>
      <c r="BN23" s="34">
        <v>11</v>
      </c>
      <c r="BO23" s="35">
        <f>(BN23/BN19)</f>
        <v>3.6666666666666667E-2</v>
      </c>
      <c r="BQ23" s="34">
        <v>13</v>
      </c>
      <c r="BR23" s="35">
        <f>(BQ23/BQ19)</f>
        <v>4.5454545454545456E-2</v>
      </c>
      <c r="BT23" s="34">
        <v>13</v>
      </c>
      <c r="BU23" s="35">
        <f>(BT23/BT19)</f>
        <v>4.2904290429042903E-2</v>
      </c>
      <c r="BW23" s="34">
        <v>11</v>
      </c>
      <c r="BX23" s="35">
        <f>(BW23/BW19)</f>
        <v>3.7542662116040959E-2</v>
      </c>
      <c r="BZ23" s="34">
        <v>14</v>
      </c>
      <c r="CA23" s="35">
        <f>(BZ23/BZ19)</f>
        <v>4.4444444444444446E-2</v>
      </c>
      <c r="CC23" s="34">
        <v>16</v>
      </c>
      <c r="CD23" s="35">
        <f>(CC23/CC19)</f>
        <v>4.3360433604336043E-2</v>
      </c>
      <c r="CF23" s="34">
        <v>16</v>
      </c>
      <c r="CG23" s="35">
        <f>(CF23/CF19)</f>
        <v>4.2553191489361701E-2</v>
      </c>
      <c r="CI23" s="34">
        <v>22</v>
      </c>
      <c r="CJ23" s="35">
        <f>CI23/CI19</f>
        <v>5.7441253263707574E-2</v>
      </c>
      <c r="CL23" s="34">
        <v>23</v>
      </c>
      <c r="CM23" s="35">
        <f t="shared" si="11"/>
        <v>6.2330623306233061E-2</v>
      </c>
      <c r="CO23" s="86">
        <v>14</v>
      </c>
      <c r="CP23" s="35">
        <f t="shared" si="8"/>
        <v>4.0816326530612242E-2</v>
      </c>
      <c r="CR23" s="34">
        <v>12</v>
      </c>
      <c r="CS23" s="35">
        <f t="shared" si="9"/>
        <v>4.0268456375838924E-2</v>
      </c>
      <c r="CU23" s="34">
        <v>13</v>
      </c>
      <c r="CV23" s="35">
        <f t="shared" si="12"/>
        <v>5.829596412556054E-2</v>
      </c>
      <c r="CX23" s="34">
        <v>11</v>
      </c>
      <c r="CY23" s="35">
        <f t="shared" si="10"/>
        <v>4.9327354260089683E-2</v>
      </c>
      <c r="CZ23" s="34"/>
      <c r="DA23" s="34">
        <v>9</v>
      </c>
      <c r="DB23" s="35">
        <f t="shared" si="13"/>
        <v>4.3478260869565216E-2</v>
      </c>
      <c r="DC23" s="34"/>
      <c r="DD23" s="34">
        <v>14</v>
      </c>
      <c r="DE23" s="35">
        <f t="shared" si="14"/>
        <v>6.7632850241545889E-2</v>
      </c>
      <c r="DF23" s="34"/>
      <c r="DG23" s="34">
        <v>14</v>
      </c>
      <c r="DH23" s="35">
        <f t="shared" si="15"/>
        <v>6.7632850241545889E-2</v>
      </c>
    </row>
    <row r="24" spans="1:112" s="27" customFormat="1" ht="10.15" customHeight="1">
      <c r="B24" s="118" t="s">
        <v>33</v>
      </c>
      <c r="C24" s="118"/>
      <c r="D24" s="118"/>
      <c r="E24" s="118"/>
      <c r="F24" s="34"/>
      <c r="G24" s="35"/>
      <c r="H24" s="34"/>
      <c r="I24" s="34"/>
      <c r="J24" s="35"/>
      <c r="K24" s="36"/>
      <c r="L24" s="34"/>
      <c r="M24" s="35"/>
      <c r="N24" s="37"/>
      <c r="O24" s="34"/>
      <c r="P24" s="35"/>
      <c r="Q24" s="37"/>
      <c r="R24" s="34"/>
      <c r="S24" s="35"/>
      <c r="T24" s="37"/>
      <c r="U24" s="34"/>
      <c r="V24" s="35"/>
      <c r="W24" s="37"/>
      <c r="X24" s="34"/>
      <c r="Y24" s="35"/>
      <c r="Z24" s="37"/>
      <c r="AA24" s="34"/>
      <c r="AB24" s="35"/>
      <c r="AC24" s="37"/>
      <c r="AD24" s="34"/>
      <c r="AE24" s="35"/>
      <c r="AF24" s="37"/>
      <c r="AG24" s="34"/>
      <c r="AH24" s="35"/>
      <c r="AI24" s="37"/>
      <c r="AJ24" s="34"/>
      <c r="AK24" s="35"/>
      <c r="AL24" s="37"/>
      <c r="AM24" s="34"/>
      <c r="AN24" s="35"/>
      <c r="AP24" s="34"/>
      <c r="AQ24" s="35"/>
      <c r="AS24" s="34"/>
      <c r="AT24" s="35"/>
      <c r="AV24" s="34"/>
      <c r="AW24" s="35"/>
      <c r="AY24" s="34"/>
      <c r="AZ24" s="35"/>
      <c r="BB24" s="34"/>
      <c r="BC24" s="35"/>
      <c r="BE24" s="34"/>
      <c r="BF24" s="35"/>
      <c r="BH24" s="34"/>
      <c r="BI24" s="35"/>
      <c r="BK24" s="34">
        <v>0</v>
      </c>
      <c r="BL24" s="35">
        <f>BK24/BK19</f>
        <v>0</v>
      </c>
      <c r="BN24" s="34">
        <v>1</v>
      </c>
      <c r="BO24" s="35">
        <f>BN24/BN19</f>
        <v>3.3333333333333335E-3</v>
      </c>
      <c r="BQ24" s="34">
        <v>1</v>
      </c>
      <c r="BR24" s="35">
        <f>BQ24/BQ19</f>
        <v>3.4965034965034965E-3</v>
      </c>
      <c r="BT24" s="34">
        <v>1</v>
      </c>
      <c r="BU24" s="35">
        <f>BT24/BT19</f>
        <v>3.3003300330033004E-3</v>
      </c>
      <c r="BW24" s="34">
        <v>1</v>
      </c>
      <c r="BX24" s="35">
        <f>BW24/BW19</f>
        <v>3.4129692832764505E-3</v>
      </c>
      <c r="BZ24" s="34">
        <v>0</v>
      </c>
      <c r="CA24" s="35">
        <f>BZ24/BZ19</f>
        <v>0</v>
      </c>
      <c r="CC24" s="34">
        <v>0</v>
      </c>
      <c r="CD24" s="35">
        <f>CC24/CC19</f>
        <v>0</v>
      </c>
      <c r="CF24" s="34">
        <v>0</v>
      </c>
      <c r="CG24" s="35">
        <f>CF24/CF19</f>
        <v>0</v>
      </c>
      <c r="CI24" s="34">
        <v>0</v>
      </c>
      <c r="CJ24" s="35">
        <f>CI24/CI19</f>
        <v>0</v>
      </c>
      <c r="CL24" s="34">
        <v>0</v>
      </c>
      <c r="CM24" s="35">
        <f t="shared" si="11"/>
        <v>0</v>
      </c>
      <c r="CO24" s="86">
        <v>0</v>
      </c>
      <c r="CP24" s="35">
        <f t="shared" si="8"/>
        <v>0</v>
      </c>
      <c r="CR24" s="34">
        <v>0</v>
      </c>
      <c r="CS24" s="35">
        <f t="shared" si="9"/>
        <v>0</v>
      </c>
      <c r="CU24" s="34">
        <v>0</v>
      </c>
      <c r="CV24" s="35">
        <f t="shared" si="12"/>
        <v>0</v>
      </c>
      <c r="CX24" s="34">
        <v>0</v>
      </c>
      <c r="CY24" s="35">
        <f t="shared" si="10"/>
        <v>0</v>
      </c>
      <c r="CZ24" s="34"/>
      <c r="DA24" s="34">
        <v>0</v>
      </c>
      <c r="DB24" s="35">
        <f t="shared" si="13"/>
        <v>0</v>
      </c>
      <c r="DC24" s="34"/>
      <c r="DD24" s="34">
        <v>0</v>
      </c>
      <c r="DE24" s="35">
        <f t="shared" si="14"/>
        <v>0</v>
      </c>
      <c r="DF24" s="34"/>
      <c r="DG24" s="34">
        <v>0</v>
      </c>
      <c r="DH24" s="35">
        <f t="shared" si="15"/>
        <v>0</v>
      </c>
    </row>
    <row r="25" spans="1:112" s="27" customFormat="1" ht="10.15" customHeight="1">
      <c r="B25" s="118" t="s">
        <v>34</v>
      </c>
      <c r="C25" s="118"/>
      <c r="D25" s="118"/>
      <c r="E25" s="118"/>
      <c r="F25" s="34"/>
      <c r="G25" s="35"/>
      <c r="H25" s="34"/>
      <c r="I25" s="34"/>
      <c r="J25" s="35"/>
      <c r="K25" s="36"/>
      <c r="L25" s="34"/>
      <c r="M25" s="35"/>
      <c r="N25" s="37"/>
      <c r="O25" s="34"/>
      <c r="P25" s="35"/>
      <c r="Q25" s="37"/>
      <c r="R25" s="34"/>
      <c r="S25" s="35"/>
      <c r="T25" s="37"/>
      <c r="U25" s="34"/>
      <c r="V25" s="35"/>
      <c r="W25" s="37"/>
      <c r="X25" s="34"/>
      <c r="Y25" s="35"/>
      <c r="Z25" s="37"/>
      <c r="AA25" s="34"/>
      <c r="AB25" s="35"/>
      <c r="AC25" s="37"/>
      <c r="AD25" s="34"/>
      <c r="AE25" s="35"/>
      <c r="AF25" s="37"/>
      <c r="AG25" s="34"/>
      <c r="AH25" s="35"/>
      <c r="AI25" s="37"/>
      <c r="AJ25" s="34"/>
      <c r="AK25" s="35"/>
      <c r="AL25" s="37"/>
      <c r="AM25" s="34"/>
      <c r="AN25" s="35"/>
      <c r="AP25" s="34"/>
      <c r="AQ25" s="35"/>
      <c r="AS25" s="34"/>
      <c r="AT25" s="35"/>
      <c r="AV25" s="34"/>
      <c r="AW25" s="35"/>
      <c r="AY25" s="34"/>
      <c r="AZ25" s="35"/>
      <c r="BB25" s="34"/>
      <c r="BC25" s="35"/>
      <c r="BE25" s="34"/>
      <c r="BF25" s="35"/>
      <c r="BH25" s="34"/>
      <c r="BI25" s="35"/>
      <c r="BK25" s="34">
        <v>1</v>
      </c>
      <c r="BL25" s="35">
        <f>BK25/BK19</f>
        <v>3.0487804878048782E-3</v>
      </c>
      <c r="BN25" s="34">
        <v>1</v>
      </c>
      <c r="BO25" s="35">
        <f>BN25/BN19</f>
        <v>3.3333333333333335E-3</v>
      </c>
      <c r="BQ25" s="34">
        <v>2</v>
      </c>
      <c r="BR25" s="35">
        <f>BQ25/BQ19</f>
        <v>6.993006993006993E-3</v>
      </c>
      <c r="BT25" s="34">
        <v>2</v>
      </c>
      <c r="BU25" s="35">
        <f>BT25/BT19</f>
        <v>6.6006600660066007E-3</v>
      </c>
      <c r="BW25" s="34">
        <v>1</v>
      </c>
      <c r="BX25" s="35">
        <f>BW25/BW19</f>
        <v>3.4129692832764505E-3</v>
      </c>
      <c r="BZ25" s="34">
        <v>2</v>
      </c>
      <c r="CA25" s="35">
        <f>BZ25/BZ19</f>
        <v>6.3492063492063492E-3</v>
      </c>
      <c r="CC25" s="34">
        <v>4</v>
      </c>
      <c r="CD25" s="35">
        <f>CC25/CC19</f>
        <v>1.0840108401084011E-2</v>
      </c>
      <c r="CF25" s="34">
        <v>5</v>
      </c>
      <c r="CG25" s="35">
        <f>CF25/CF19</f>
        <v>1.3297872340425532E-2</v>
      </c>
      <c r="CI25" s="34">
        <v>5</v>
      </c>
      <c r="CJ25" s="35">
        <f>CI25/CI19</f>
        <v>1.3054830287206266E-2</v>
      </c>
      <c r="CL25" s="34">
        <v>5</v>
      </c>
      <c r="CM25" s="35">
        <f t="shared" si="11"/>
        <v>1.3550135501355014E-2</v>
      </c>
      <c r="CO25" s="86">
        <v>6</v>
      </c>
      <c r="CP25" s="35">
        <f t="shared" si="8"/>
        <v>1.7492711370262391E-2</v>
      </c>
      <c r="CR25" s="34">
        <v>5</v>
      </c>
      <c r="CS25" s="35">
        <f t="shared" si="9"/>
        <v>1.6778523489932886E-2</v>
      </c>
      <c r="CU25" s="34">
        <v>4</v>
      </c>
      <c r="CV25" s="35">
        <f t="shared" si="12"/>
        <v>1.7937219730941704E-2</v>
      </c>
      <c r="CX25" s="34">
        <v>5</v>
      </c>
      <c r="CY25" s="35">
        <f t="shared" si="10"/>
        <v>2.2421524663677129E-2</v>
      </c>
      <c r="CZ25" s="34"/>
      <c r="DA25" s="34">
        <v>3</v>
      </c>
      <c r="DB25" s="35">
        <f t="shared" si="13"/>
        <v>1.4492753623188406E-2</v>
      </c>
      <c r="DC25" s="34"/>
      <c r="DD25" s="34">
        <v>3</v>
      </c>
      <c r="DE25" s="35">
        <f t="shared" si="14"/>
        <v>1.4492753623188406E-2</v>
      </c>
      <c r="DF25" s="34"/>
      <c r="DG25" s="34">
        <v>2</v>
      </c>
      <c r="DH25" s="35">
        <f t="shared" si="15"/>
        <v>9.6618357487922701E-3</v>
      </c>
    </row>
    <row r="26" spans="1:112" s="27" customFormat="1" ht="10.15" customHeight="1">
      <c r="B26" s="90" t="s">
        <v>71</v>
      </c>
      <c r="C26" s="90"/>
      <c r="D26" s="90"/>
      <c r="E26" s="90"/>
      <c r="F26" s="34"/>
      <c r="G26" s="35"/>
      <c r="H26" s="34"/>
      <c r="I26" s="34"/>
      <c r="J26" s="35"/>
      <c r="K26" s="36"/>
      <c r="L26" s="34"/>
      <c r="M26" s="35"/>
      <c r="N26" s="37"/>
      <c r="O26" s="34"/>
      <c r="P26" s="35"/>
      <c r="Q26" s="37"/>
      <c r="R26" s="34"/>
      <c r="S26" s="35"/>
      <c r="T26" s="37"/>
      <c r="U26" s="34"/>
      <c r="V26" s="35"/>
      <c r="W26" s="37"/>
      <c r="X26" s="34"/>
      <c r="Y26" s="35"/>
      <c r="Z26" s="37"/>
      <c r="AA26" s="34"/>
      <c r="AB26" s="35"/>
      <c r="AC26" s="37"/>
      <c r="AD26" s="34"/>
      <c r="AE26" s="35"/>
      <c r="AF26" s="37"/>
      <c r="AG26" s="34"/>
      <c r="AH26" s="35"/>
      <c r="AI26" s="37"/>
      <c r="AJ26" s="34"/>
      <c r="AK26" s="35"/>
      <c r="AL26" s="37"/>
      <c r="AM26" s="34"/>
      <c r="AN26" s="35"/>
      <c r="AP26" s="34"/>
      <c r="AQ26" s="35"/>
      <c r="AS26" s="34"/>
      <c r="AT26" s="35"/>
      <c r="AV26" s="34"/>
      <c r="AW26" s="35"/>
      <c r="AY26" s="34"/>
      <c r="AZ26" s="35"/>
      <c r="BB26" s="34"/>
      <c r="BC26" s="35"/>
      <c r="BE26" s="34"/>
      <c r="BF26" s="35"/>
      <c r="BH26" s="34"/>
      <c r="BI26" s="35"/>
      <c r="BK26" s="34"/>
      <c r="BL26" s="35"/>
      <c r="BN26" s="34"/>
      <c r="BO26" s="35"/>
      <c r="BQ26" s="34"/>
      <c r="BR26" s="35"/>
      <c r="BT26" s="34"/>
      <c r="BU26" s="35"/>
      <c r="BW26" s="34"/>
      <c r="BX26" s="35"/>
      <c r="BZ26" s="34"/>
      <c r="CA26" s="35"/>
      <c r="CC26" s="34"/>
      <c r="CD26" s="35"/>
      <c r="CF26" s="106" t="s">
        <v>59</v>
      </c>
      <c r="CG26" s="106" t="s">
        <v>61</v>
      </c>
      <c r="CI26" s="106" t="s">
        <v>59</v>
      </c>
      <c r="CJ26" s="106" t="s">
        <v>62</v>
      </c>
      <c r="CL26" s="106" t="s">
        <v>59</v>
      </c>
      <c r="CM26" s="106" t="s">
        <v>63</v>
      </c>
      <c r="CO26" s="86">
        <v>54</v>
      </c>
      <c r="CP26" s="35">
        <v>0</v>
      </c>
      <c r="CR26" s="34">
        <v>45</v>
      </c>
      <c r="CS26" s="35">
        <f t="shared" si="9"/>
        <v>0.15100671140939598</v>
      </c>
      <c r="CU26" s="34">
        <v>40</v>
      </c>
      <c r="CV26" s="35">
        <f t="shared" si="12"/>
        <v>0.17937219730941703</v>
      </c>
      <c r="CX26" s="34">
        <v>29</v>
      </c>
      <c r="CY26" s="35">
        <f t="shared" si="10"/>
        <v>0.13004484304932734</v>
      </c>
      <c r="CZ26" s="34"/>
      <c r="DA26" s="34">
        <v>36</v>
      </c>
      <c r="DB26" s="35">
        <f t="shared" si="13"/>
        <v>0.17391304347826086</v>
      </c>
      <c r="DC26" s="34"/>
      <c r="DD26" s="34">
        <v>38</v>
      </c>
      <c r="DE26" s="35">
        <f t="shared" si="14"/>
        <v>0.18357487922705315</v>
      </c>
      <c r="DF26" s="34"/>
      <c r="DG26" s="34">
        <v>42</v>
      </c>
      <c r="DH26" s="35">
        <f t="shared" si="15"/>
        <v>0.20289855072463769</v>
      </c>
    </row>
    <row r="27" spans="1:112" s="27" customFormat="1" ht="10.15" customHeight="1">
      <c r="C27" s="119" t="s">
        <v>68</v>
      </c>
      <c r="D27" s="119"/>
      <c r="E27" s="119"/>
      <c r="F27" s="34">
        <f>SUM(F20:F23)</f>
        <v>55</v>
      </c>
      <c r="G27" s="35">
        <f>(F27/F19)</f>
        <v>0.20072992700729927</v>
      </c>
      <c r="H27" s="34"/>
      <c r="I27" s="34">
        <f>SUM(I20:I23)</f>
        <v>54</v>
      </c>
      <c r="J27" s="35">
        <f>(I27/I19)</f>
        <v>0.20149253731343283</v>
      </c>
      <c r="K27" s="36"/>
      <c r="L27" s="34">
        <f>SUM(L20:L23)</f>
        <v>61</v>
      </c>
      <c r="M27" s="35">
        <f>(L27/L19)</f>
        <v>0.22509225092250923</v>
      </c>
      <c r="N27" s="37"/>
      <c r="O27" s="34">
        <f>SUM(O20:O23)</f>
        <v>65</v>
      </c>
      <c r="P27" s="35">
        <f>(O27/O19)</f>
        <v>0.24436090225563908</v>
      </c>
      <c r="Q27" s="37"/>
      <c r="R27" s="34">
        <f>SUM(R20:R23)</f>
        <v>60</v>
      </c>
      <c r="S27" s="35">
        <f>(R27/R19)</f>
        <v>0.23346303501945526</v>
      </c>
      <c r="T27" s="37"/>
      <c r="U27" s="34">
        <f>SUM(U20:U23)</f>
        <v>47</v>
      </c>
      <c r="V27" s="35">
        <f>(U27/U19)</f>
        <v>0.19183673469387755</v>
      </c>
      <c r="W27" s="37"/>
      <c r="X27" s="34">
        <f>SUM(X20:X23)</f>
        <v>51</v>
      </c>
      <c r="Y27" s="35">
        <f>(X27/X19)</f>
        <v>0.19844357976653695</v>
      </c>
      <c r="Z27" s="37"/>
      <c r="AA27" s="34">
        <f>SUM(AA20:AA23)</f>
        <v>59</v>
      </c>
      <c r="AB27" s="35">
        <f>(AA27/AA19)</f>
        <v>0.22264150943396227</v>
      </c>
      <c r="AC27" s="37"/>
      <c r="AD27" s="34">
        <f>SUM(AD20:AD23)</f>
        <v>64</v>
      </c>
      <c r="AE27" s="35">
        <f>(AD27/AD19)</f>
        <v>0.2318840579710145</v>
      </c>
      <c r="AF27" s="37"/>
      <c r="AG27" s="34">
        <f>SUM(AG20:AG23)</f>
        <v>72</v>
      </c>
      <c r="AH27" s="35">
        <f>(AG27/AG19)</f>
        <v>0.23300970873786409</v>
      </c>
      <c r="AI27" s="37"/>
      <c r="AJ27" s="34">
        <f>SUM(AJ20:AJ23)</f>
        <v>78</v>
      </c>
      <c r="AK27" s="35">
        <f>(AJ27/AJ19)</f>
        <v>0.22413793103448276</v>
      </c>
      <c r="AL27" s="37"/>
      <c r="AM27" s="34">
        <f>SUM(AM20:AM23)</f>
        <v>76</v>
      </c>
      <c r="AN27" s="35">
        <f>(AM27/AM19)</f>
        <v>0.22551928783382788</v>
      </c>
      <c r="AP27" s="34">
        <f>SUM(AP20:AP23)</f>
        <v>74</v>
      </c>
      <c r="AQ27" s="35">
        <f>(AP27/AP19)</f>
        <v>0.22089552238805971</v>
      </c>
      <c r="AS27" s="34">
        <f>SUM(AS20:AS23)</f>
        <v>83</v>
      </c>
      <c r="AT27" s="35">
        <f>(AS27/AS19)</f>
        <v>0.2292817679558011</v>
      </c>
      <c r="AV27" s="34">
        <f>SUM(AV20:AV23)</f>
        <v>83</v>
      </c>
      <c r="AW27" s="35">
        <f>(AV27/AV19)</f>
        <v>0.22991689750692521</v>
      </c>
      <c r="AY27" s="34">
        <f>SUM(AY20:AY23)</f>
        <v>80</v>
      </c>
      <c r="AZ27" s="35">
        <f>(AY27/AY19)</f>
        <v>0.22222222222222221</v>
      </c>
      <c r="BB27" s="34">
        <f>SUM(BB20:BB23)</f>
        <v>86</v>
      </c>
      <c r="BC27" s="35">
        <f>(BB27/BB19)</f>
        <v>0.26219512195121952</v>
      </c>
      <c r="BE27" s="34">
        <f>SUM(BE20:BE23)</f>
        <v>91</v>
      </c>
      <c r="BF27" s="35">
        <f>(BE27/BE19)</f>
        <v>0.29545454545454547</v>
      </c>
      <c r="BH27" s="34">
        <f>SUM(BH20:BH23)</f>
        <v>96</v>
      </c>
      <c r="BI27" s="35">
        <f>(BH27/BH19)</f>
        <v>0.29357798165137616</v>
      </c>
      <c r="BK27" s="34">
        <f>SUM(BK20:BK25)</f>
        <v>92</v>
      </c>
      <c r="BL27" s="35">
        <f>(BK27/BK19)</f>
        <v>0.28048780487804881</v>
      </c>
      <c r="BN27" s="34">
        <f>SUM(BN20:BN25)</f>
        <v>80</v>
      </c>
      <c r="BO27" s="35">
        <f>(BN27/BN19)</f>
        <v>0.26666666666666666</v>
      </c>
      <c r="BQ27" s="34">
        <f>SUM(BQ20:BQ25)</f>
        <v>86</v>
      </c>
      <c r="BR27" s="35">
        <f>(BQ27/BQ19)</f>
        <v>0.30069930069930068</v>
      </c>
      <c r="BT27" s="34">
        <f>SUM(BT20:BT25)</f>
        <v>86</v>
      </c>
      <c r="BU27" s="35">
        <f>(BT27/BT19)</f>
        <v>0.28382838283828382</v>
      </c>
      <c r="BW27" s="34">
        <f>SUM(BW20:BW25)</f>
        <v>82</v>
      </c>
      <c r="BX27" s="35">
        <f>(BW27/BW19)</f>
        <v>0.27986348122866894</v>
      </c>
      <c r="BZ27" s="34">
        <f>SUM(BZ20:BZ25)</f>
        <v>101</v>
      </c>
      <c r="CA27" s="35">
        <f>(BZ27/BZ19)</f>
        <v>0.32063492063492066</v>
      </c>
      <c r="CC27" s="34">
        <f>SUM(CC20:CC25)</f>
        <v>125</v>
      </c>
      <c r="CD27" s="35">
        <f>(CC27/CC19)</f>
        <v>0.33875338753387535</v>
      </c>
      <c r="CF27" s="34">
        <f>SUM(CF20:CF25)</f>
        <v>128</v>
      </c>
      <c r="CG27" s="35">
        <f>(CF27/CF19)</f>
        <v>0.34042553191489361</v>
      </c>
      <c r="CI27" s="34">
        <f>SUM(CI20:CI25)</f>
        <v>138</v>
      </c>
      <c r="CJ27" s="35">
        <f>CI27/CI19</f>
        <v>0.36031331592689297</v>
      </c>
      <c r="CL27" s="34">
        <f>SUM(CL20:CL25)</f>
        <v>137</v>
      </c>
      <c r="CM27" s="35">
        <f t="shared" si="11"/>
        <v>0.37127371273712739</v>
      </c>
      <c r="CO27" s="86">
        <f>SUM(CO20:CO26)</f>
        <v>143</v>
      </c>
      <c r="CP27" s="35">
        <f t="shared" si="8"/>
        <v>0.41690962099125367</v>
      </c>
      <c r="CR27" s="34">
        <f>SUM(CR20:CR26)</f>
        <v>121</v>
      </c>
      <c r="CS27" s="35">
        <f t="shared" si="9"/>
        <v>0.40604026845637586</v>
      </c>
      <c r="CU27" s="34">
        <f>SUM(CU20:CU26)</f>
        <v>102</v>
      </c>
      <c r="CV27" s="35">
        <f>CU27/$CX$19</f>
        <v>0.45739910313901344</v>
      </c>
      <c r="CX27" s="34">
        <f>SUM(CX20:CX26)</f>
        <v>95</v>
      </c>
      <c r="CY27" s="35">
        <f t="shared" si="10"/>
        <v>0.42600896860986548</v>
      </c>
      <c r="CZ27" s="34"/>
      <c r="DA27" s="34">
        <f>SUM(DA20:DA26)</f>
        <v>100</v>
      </c>
      <c r="DB27" s="35">
        <f t="shared" si="13"/>
        <v>0.48309178743961351</v>
      </c>
      <c r="DC27" s="34"/>
      <c r="DD27" s="34">
        <f>SUM(DD20:DD26)</f>
        <v>106</v>
      </c>
      <c r="DE27" s="35">
        <f t="shared" si="14"/>
        <v>0.51207729468599039</v>
      </c>
      <c r="DF27" s="34"/>
      <c r="DG27" s="34">
        <f>SUM(DG20:DG26)</f>
        <v>110</v>
      </c>
      <c r="DH27" s="35">
        <f t="shared" si="15"/>
        <v>0.53140096618357491</v>
      </c>
    </row>
    <row r="28" spans="1:112" s="27" customFormat="1" ht="10.15" customHeight="1">
      <c r="B28" s="90" t="s">
        <v>38</v>
      </c>
      <c r="C28" s="90"/>
      <c r="D28" s="90"/>
      <c r="E28" s="90"/>
      <c r="F28" s="34">
        <v>219</v>
      </c>
      <c r="G28" s="35">
        <f>(F28/F19)</f>
        <v>0.7992700729927007</v>
      </c>
      <c r="H28" s="34"/>
      <c r="I28" s="34">
        <v>214</v>
      </c>
      <c r="J28" s="35">
        <f>(I28/I19)</f>
        <v>0.79850746268656714</v>
      </c>
      <c r="K28" s="36"/>
      <c r="L28" s="34">
        <v>210</v>
      </c>
      <c r="M28" s="35">
        <f>(L28/L19)</f>
        <v>0.77490774907749083</v>
      </c>
      <c r="N28" s="37"/>
      <c r="O28" s="34">
        <v>201</v>
      </c>
      <c r="P28" s="35">
        <f>(O28/O19)</f>
        <v>0.75563909774436089</v>
      </c>
      <c r="Q28" s="37"/>
      <c r="R28" s="34">
        <v>197</v>
      </c>
      <c r="S28" s="35">
        <f>(R28/R19)</f>
        <v>0.7665369649805448</v>
      </c>
      <c r="T28" s="37"/>
      <c r="U28" s="34">
        <v>198</v>
      </c>
      <c r="V28" s="35">
        <f>(U28/U19)</f>
        <v>0.80816326530612248</v>
      </c>
      <c r="W28" s="37"/>
      <c r="X28" s="34">
        <v>206</v>
      </c>
      <c r="Y28" s="35">
        <f>(X28/X19)</f>
        <v>0.80155642023346307</v>
      </c>
      <c r="Z28" s="37"/>
      <c r="AA28" s="34">
        <v>206</v>
      </c>
      <c r="AB28" s="35">
        <f>(AA28/AA19)</f>
        <v>0.77735849056603779</v>
      </c>
      <c r="AC28" s="37"/>
      <c r="AD28" s="34">
        <v>212</v>
      </c>
      <c r="AE28" s="35">
        <f>(AD28/AD19)</f>
        <v>0.76811594202898548</v>
      </c>
      <c r="AF28" s="37"/>
      <c r="AG28" s="34">
        <v>237</v>
      </c>
      <c r="AH28" s="35">
        <f>(AG28/AG19)</f>
        <v>0.76699029126213591</v>
      </c>
      <c r="AI28" s="37"/>
      <c r="AJ28" s="34">
        <v>270</v>
      </c>
      <c r="AK28" s="35">
        <f>(AJ28/AJ19)</f>
        <v>0.77586206896551724</v>
      </c>
      <c r="AL28" s="37"/>
      <c r="AM28" s="34">
        <v>261</v>
      </c>
      <c r="AN28" s="35">
        <f>(AM28/AM19)</f>
        <v>0.77448071216617209</v>
      </c>
      <c r="AP28" s="34">
        <v>261</v>
      </c>
      <c r="AQ28" s="35">
        <f>(AP28/AP19)</f>
        <v>0.77910447761194035</v>
      </c>
      <c r="AS28" s="34">
        <f>270+9</f>
        <v>279</v>
      </c>
      <c r="AT28" s="35">
        <f>(AS28/AS19)</f>
        <v>0.77071823204419887</v>
      </c>
      <c r="AV28" s="34">
        <f>266+12</f>
        <v>278</v>
      </c>
      <c r="AW28" s="35">
        <f>(AV28/AV19)</f>
        <v>0.77008310249307477</v>
      </c>
      <c r="AY28" s="34">
        <v>280</v>
      </c>
      <c r="AZ28" s="35">
        <f>(AY28/AY19)</f>
        <v>0.77777777777777779</v>
      </c>
      <c r="BB28" s="34">
        <v>242</v>
      </c>
      <c r="BC28" s="35">
        <f>(BB28/BB19)</f>
        <v>0.73780487804878048</v>
      </c>
      <c r="BE28" s="34">
        <v>217</v>
      </c>
      <c r="BF28" s="35">
        <f>(BE28/BE19)</f>
        <v>0.70454545454545459</v>
      </c>
      <c r="BH28" s="34">
        <v>231</v>
      </c>
      <c r="BI28" s="35">
        <f>(BH28/BH19)</f>
        <v>0.70642201834862384</v>
      </c>
      <c r="BK28" s="34">
        <v>236</v>
      </c>
      <c r="BL28" s="35">
        <f>(BK28/BK19)</f>
        <v>0.71951219512195119</v>
      </c>
      <c r="BN28" s="34">
        <v>220</v>
      </c>
      <c r="BO28" s="35">
        <f>(BN28/BN19)</f>
        <v>0.73333333333333328</v>
      </c>
      <c r="BQ28" s="34">
        <v>200</v>
      </c>
      <c r="BR28" s="35">
        <f>(BQ28/BQ19)</f>
        <v>0.69930069930069927</v>
      </c>
      <c r="BT28" s="34">
        <v>217</v>
      </c>
      <c r="BU28" s="35">
        <f>(BT28/BT19)</f>
        <v>0.71617161716171618</v>
      </c>
      <c r="BW28" s="34">
        <v>211</v>
      </c>
      <c r="BX28" s="35">
        <f>(BW28/BW19)</f>
        <v>0.72013651877133111</v>
      </c>
      <c r="BZ28" s="34">
        <v>214</v>
      </c>
      <c r="CA28" s="35">
        <f>(BZ28/BZ19)</f>
        <v>0.67936507936507939</v>
      </c>
      <c r="CC28" s="34">
        <v>244</v>
      </c>
      <c r="CD28" s="35">
        <f>(CC28/CC19)</f>
        <v>0.66124661246612471</v>
      </c>
      <c r="CF28" s="34">
        <v>248</v>
      </c>
      <c r="CG28" s="35">
        <f>(CF28/CF19)</f>
        <v>0.65957446808510634</v>
      </c>
      <c r="CI28" s="34">
        <v>245</v>
      </c>
      <c r="CJ28" s="35">
        <f>CI28/CI19</f>
        <v>0.63968668407310703</v>
      </c>
      <c r="CL28" s="34">
        <v>232</v>
      </c>
      <c r="CM28" s="35">
        <f t="shared" si="11"/>
        <v>0.62872628726287261</v>
      </c>
      <c r="CO28" s="86">
        <v>200</v>
      </c>
      <c r="CP28" s="35">
        <f t="shared" si="8"/>
        <v>0.58309037900874638</v>
      </c>
      <c r="CR28" s="34">
        <v>177</v>
      </c>
      <c r="CS28" s="35">
        <f t="shared" si="9"/>
        <v>0.59395973154362414</v>
      </c>
      <c r="CU28" s="34">
        <v>154</v>
      </c>
      <c r="CV28" s="35">
        <f t="shared" ref="CV28:CV29" si="16">CU28/$CX$19</f>
        <v>0.6905829596412556</v>
      </c>
      <c r="CX28" s="34">
        <v>128</v>
      </c>
      <c r="CY28" s="35">
        <f t="shared" si="10"/>
        <v>0.57399103139013452</v>
      </c>
      <c r="CZ28" s="34"/>
      <c r="DA28" s="34">
        <v>107</v>
      </c>
      <c r="DB28" s="35">
        <f t="shared" si="13"/>
        <v>0.51690821256038644</v>
      </c>
      <c r="DC28" s="34"/>
      <c r="DD28" s="34">
        <v>107</v>
      </c>
      <c r="DE28" s="35">
        <f t="shared" si="14"/>
        <v>0.51690821256038644</v>
      </c>
      <c r="DF28" s="34"/>
      <c r="DG28" s="34">
        <v>106</v>
      </c>
      <c r="DH28" s="35">
        <f t="shared" si="15"/>
        <v>0.51207729468599039</v>
      </c>
    </row>
    <row r="29" spans="1:112" s="33" customFormat="1" ht="10.15" customHeight="1">
      <c r="B29" s="129" t="s">
        <v>58</v>
      </c>
      <c r="C29" s="129"/>
      <c r="D29" s="129"/>
      <c r="E29" s="129"/>
      <c r="F29" s="41"/>
      <c r="G29" s="38"/>
      <c r="H29" s="41"/>
      <c r="I29" s="41"/>
      <c r="J29" s="38"/>
      <c r="K29" s="39"/>
      <c r="L29" s="41"/>
      <c r="M29" s="38"/>
      <c r="N29" s="40"/>
      <c r="O29" s="41"/>
      <c r="P29" s="38"/>
      <c r="Q29" s="40"/>
      <c r="R29" s="41"/>
      <c r="S29" s="38"/>
      <c r="T29" s="40"/>
      <c r="U29" s="41"/>
      <c r="V29" s="38"/>
      <c r="W29" s="40"/>
      <c r="X29" s="41"/>
      <c r="Y29" s="38"/>
      <c r="Z29" s="40"/>
      <c r="AA29" s="41"/>
      <c r="AB29" s="38"/>
      <c r="AC29" s="40"/>
      <c r="AD29" s="41"/>
      <c r="AE29" s="38"/>
      <c r="AF29" s="40"/>
      <c r="AG29" s="41"/>
      <c r="AH29" s="38"/>
      <c r="AI29" s="40"/>
      <c r="AJ29" s="41"/>
      <c r="AK29" s="38"/>
      <c r="AL29" s="40"/>
      <c r="AM29" s="41"/>
      <c r="AN29" s="38"/>
      <c r="AP29" s="41"/>
      <c r="AQ29" s="38"/>
      <c r="AS29" s="41"/>
      <c r="AT29" s="38"/>
      <c r="AV29" s="41"/>
      <c r="AW29" s="38"/>
      <c r="AY29" s="41"/>
      <c r="AZ29" s="38"/>
      <c r="BB29" s="41"/>
      <c r="BC29" s="38"/>
      <c r="BE29" s="41"/>
      <c r="BF29" s="38"/>
      <c r="BH29" s="41"/>
      <c r="BI29" s="38"/>
      <c r="BK29" s="41"/>
      <c r="BL29" s="38"/>
      <c r="BN29" s="41"/>
      <c r="BO29" s="38"/>
      <c r="BQ29" s="41"/>
      <c r="BR29" s="38"/>
      <c r="BT29" s="41"/>
      <c r="BU29" s="38"/>
      <c r="BW29" s="41"/>
      <c r="BX29" s="38"/>
      <c r="BZ29" s="41"/>
      <c r="CA29" s="38"/>
      <c r="CC29" s="91" t="s">
        <v>59</v>
      </c>
      <c r="CD29" s="91" t="s">
        <v>60</v>
      </c>
      <c r="CF29" s="91" t="s">
        <v>59</v>
      </c>
      <c r="CG29" s="91" t="s">
        <v>61</v>
      </c>
      <c r="CI29" s="91" t="s">
        <v>59</v>
      </c>
      <c r="CJ29" s="91" t="s">
        <v>62</v>
      </c>
      <c r="CL29" s="91" t="s">
        <v>59</v>
      </c>
      <c r="CM29" s="91" t="s">
        <v>63</v>
      </c>
      <c r="CO29" s="87">
        <v>0</v>
      </c>
      <c r="CP29" s="38">
        <f t="shared" si="8"/>
        <v>0</v>
      </c>
      <c r="CR29" s="41">
        <v>0</v>
      </c>
      <c r="CS29" s="38">
        <f t="shared" si="9"/>
        <v>0</v>
      </c>
      <c r="CU29" s="41">
        <v>0</v>
      </c>
      <c r="CV29" s="38">
        <f t="shared" si="16"/>
        <v>0</v>
      </c>
      <c r="CX29" s="41">
        <v>0</v>
      </c>
      <c r="CY29" s="38">
        <f t="shared" si="10"/>
        <v>0</v>
      </c>
      <c r="CZ29" s="41"/>
      <c r="DA29" s="41">
        <v>0</v>
      </c>
      <c r="DB29" s="35">
        <f t="shared" si="13"/>
        <v>0</v>
      </c>
      <c r="DC29" s="41"/>
      <c r="DD29" s="41">
        <v>0</v>
      </c>
      <c r="DE29" s="35">
        <f t="shared" si="14"/>
        <v>0</v>
      </c>
      <c r="DF29" s="41"/>
      <c r="DG29" s="41">
        <v>0</v>
      </c>
      <c r="DH29" s="35">
        <f t="shared" si="15"/>
        <v>0</v>
      </c>
    </row>
    <row r="30" spans="1:112" s="44" customFormat="1" ht="15" customHeight="1">
      <c r="A30" s="55"/>
      <c r="B30" s="55"/>
      <c r="C30" s="121" t="s">
        <v>54</v>
      </c>
      <c r="D30" s="121"/>
      <c r="E30" s="121"/>
      <c r="F30" s="51">
        <f>SUM(F38:F39)</f>
        <v>1469</v>
      </c>
      <c r="G30" s="52"/>
      <c r="H30" s="51"/>
      <c r="I30" s="51">
        <f>SUM(I38:I39)</f>
        <v>1448</v>
      </c>
      <c r="J30" s="52"/>
      <c r="K30" s="53"/>
      <c r="L30" s="51">
        <f>SUM(L38:L39)</f>
        <v>1448</v>
      </c>
      <c r="M30" s="52"/>
      <c r="N30" s="54"/>
      <c r="O30" s="51">
        <f>SUM(O38:O39)</f>
        <v>1457</v>
      </c>
      <c r="P30" s="52"/>
      <c r="Q30" s="54"/>
      <c r="R30" s="51">
        <f>SUM(R38:R39)</f>
        <v>1455</v>
      </c>
      <c r="S30" s="52"/>
      <c r="T30" s="54"/>
      <c r="U30" s="51">
        <f>SUM(U38:U39)</f>
        <v>1455</v>
      </c>
      <c r="V30" s="52"/>
      <c r="W30" s="54"/>
      <c r="X30" s="51">
        <f>SUM(X38:X39)</f>
        <v>1453</v>
      </c>
      <c r="Y30" s="52"/>
      <c r="Z30" s="54"/>
      <c r="AA30" s="51">
        <f>SUM(AA38:AA39)</f>
        <v>1427</v>
      </c>
      <c r="AB30" s="52"/>
      <c r="AC30" s="54"/>
      <c r="AD30" s="51">
        <f>SUM(AD38:AD39)</f>
        <v>1439</v>
      </c>
      <c r="AE30" s="52"/>
      <c r="AF30" s="54"/>
      <c r="AG30" s="51">
        <f>SUM(AG38:AG39)</f>
        <v>1423</v>
      </c>
      <c r="AH30" s="52"/>
      <c r="AI30" s="54"/>
      <c r="AJ30" s="51">
        <f>SUM(AJ38:AJ39)</f>
        <v>1425</v>
      </c>
      <c r="AK30" s="52"/>
      <c r="AL30" s="54"/>
      <c r="AM30" s="51">
        <f>SUM(AM38:AM39)</f>
        <v>1396</v>
      </c>
      <c r="AN30" s="52"/>
      <c r="AO30" s="55"/>
      <c r="AP30" s="51">
        <f>SUM(AP38:AP39)</f>
        <v>1355</v>
      </c>
      <c r="AQ30" s="52"/>
      <c r="AR30" s="55"/>
      <c r="AS30" s="51">
        <f>SUM(AS38:AS39)</f>
        <v>1369</v>
      </c>
      <c r="AT30" s="52"/>
      <c r="AU30" s="55"/>
      <c r="AV30" s="51">
        <f>SUM(AV38:AV39)</f>
        <v>1339</v>
      </c>
      <c r="AW30" s="52"/>
      <c r="AX30" s="55"/>
      <c r="AY30" s="51">
        <f>SUM(AY38:AY39)</f>
        <v>1358</v>
      </c>
      <c r="AZ30" s="52"/>
      <c r="BA30" s="55"/>
      <c r="BB30" s="51">
        <f>SUM(BB38:BB39)</f>
        <v>1313</v>
      </c>
      <c r="BC30" s="52"/>
      <c r="BD30" s="55"/>
      <c r="BE30" s="51">
        <f>SUM(BE38:BE39)</f>
        <v>1292</v>
      </c>
      <c r="BF30" s="52"/>
      <c r="BG30" s="55"/>
      <c r="BH30" s="51">
        <f>SUM(BH38:BH39)</f>
        <v>1314</v>
      </c>
      <c r="BI30" s="52"/>
      <c r="BJ30" s="55"/>
      <c r="BK30" s="51">
        <f>SUM(BK38:BK39)</f>
        <v>1346</v>
      </c>
      <c r="BL30" s="52"/>
      <c r="BM30" s="55"/>
      <c r="BN30" s="51">
        <f>SUM(BN38:BN39)</f>
        <v>1308</v>
      </c>
      <c r="BO30" s="52"/>
      <c r="BP30" s="55"/>
      <c r="BQ30" s="51">
        <f>SUM(BQ38:BQ39)</f>
        <v>1293</v>
      </c>
      <c r="BR30" s="52"/>
      <c r="BS30" s="55"/>
      <c r="BT30" s="51">
        <f>SUM(BT38:BT39)</f>
        <v>1331</v>
      </c>
      <c r="BU30" s="52"/>
      <c r="BV30" s="55"/>
      <c r="BW30" s="61">
        <f>SUM(BW38:BW39)</f>
        <v>1306</v>
      </c>
      <c r="BX30" s="62"/>
      <c r="BY30" s="60"/>
      <c r="BZ30" s="61">
        <f>SUM(BZ38:BZ39)</f>
        <v>1318</v>
      </c>
      <c r="CA30" s="62"/>
      <c r="CB30" s="60"/>
      <c r="CC30" s="61">
        <f>SUM(CC38:CC39)</f>
        <v>1389</v>
      </c>
      <c r="CD30" s="62"/>
      <c r="CE30" s="60"/>
      <c r="CF30" s="61">
        <f>SUM(CF38:CF39)</f>
        <v>1373</v>
      </c>
      <c r="CG30" s="62"/>
      <c r="CH30" s="60"/>
      <c r="CI30" s="61">
        <f>SUM(CI39,CI31:CI36)</f>
        <v>1362</v>
      </c>
      <c r="CJ30" s="52"/>
      <c r="CK30" s="60"/>
      <c r="CL30" s="61">
        <f t="shared" ref="CL30:CL36" si="17">CL19+CL8</f>
        <v>1355</v>
      </c>
      <c r="CM30" s="52"/>
      <c r="CN30" s="60"/>
      <c r="CO30" s="82">
        <f t="shared" ref="CO30:CO36" si="18">CO19+CO8</f>
        <v>1309</v>
      </c>
      <c r="CP30" s="52"/>
      <c r="CQ30" s="60"/>
      <c r="CR30" s="61">
        <f t="shared" ref="CR30:CR40" si="19">CR19+CR8</f>
        <v>1279</v>
      </c>
      <c r="CS30" s="52"/>
      <c r="CT30" s="60"/>
      <c r="CU30" s="61">
        <f t="shared" ref="CU30:CU40" si="20">CU19+CU8</f>
        <v>1219</v>
      </c>
      <c r="CV30" s="52"/>
      <c r="CW30" s="60"/>
      <c r="CX30" s="61">
        <f t="shared" ref="CX30:CX36" si="21">CX19+CX8</f>
        <v>1176</v>
      </c>
      <c r="CY30" s="52"/>
      <c r="CZ30" s="61"/>
      <c r="DA30" s="61">
        <f t="shared" ref="DA30:DA40" si="22">DA19+DA8</f>
        <v>1140</v>
      </c>
      <c r="DB30" s="52"/>
      <c r="DC30" s="61"/>
      <c r="DD30" s="61">
        <f t="shared" ref="DD30:DD40" si="23">DD19+DD8</f>
        <v>1119</v>
      </c>
      <c r="DE30" s="52"/>
      <c r="DF30" s="61"/>
      <c r="DG30" s="61">
        <f t="shared" ref="DG30:DG40" si="24">DG19+DG8</f>
        <v>1113</v>
      </c>
      <c r="DH30" s="52"/>
    </row>
    <row r="31" spans="1:112" s="27" customFormat="1" ht="10.15" customHeight="1">
      <c r="A31" s="22"/>
      <c r="B31" s="22"/>
      <c r="C31" s="22"/>
      <c r="D31" s="116" t="s">
        <v>55</v>
      </c>
      <c r="E31" s="116"/>
      <c r="F31" s="23">
        <f>F9+F20</f>
        <v>19</v>
      </c>
      <c r="G31" s="24">
        <f>(F31/F30)</f>
        <v>1.2933968686181076E-2</v>
      </c>
      <c r="H31" s="23"/>
      <c r="I31" s="23">
        <f>I9+I20</f>
        <v>21</v>
      </c>
      <c r="J31" s="24">
        <f>(I31/I30)</f>
        <v>1.4502762430939226E-2</v>
      </c>
      <c r="K31" s="25"/>
      <c r="L31" s="23">
        <f>L9+L20</f>
        <v>21</v>
      </c>
      <c r="M31" s="24">
        <f>(L31/L30)</f>
        <v>1.4502762430939226E-2</v>
      </c>
      <c r="N31" s="26"/>
      <c r="O31" s="23">
        <f>O9+O20</f>
        <v>19</v>
      </c>
      <c r="P31" s="24">
        <f>(O31/O30)</f>
        <v>1.3040494166094716E-2</v>
      </c>
      <c r="Q31" s="26"/>
      <c r="R31" s="23">
        <f>R9+R20</f>
        <v>17</v>
      </c>
      <c r="S31" s="24">
        <f>(R31/R30)</f>
        <v>1.1683848797250859E-2</v>
      </c>
      <c r="T31" s="26"/>
      <c r="U31" s="23">
        <f>U9+U20</f>
        <v>17</v>
      </c>
      <c r="V31" s="24">
        <f>(U31/U30)</f>
        <v>1.1683848797250859E-2</v>
      </c>
      <c r="W31" s="26"/>
      <c r="X31" s="23">
        <f>X9+X20</f>
        <v>18</v>
      </c>
      <c r="Y31" s="24">
        <f>(X31/X30)</f>
        <v>1.2388162422573986E-2</v>
      </c>
      <c r="Z31" s="26"/>
      <c r="AA31" s="23">
        <f>AA9+AA20</f>
        <v>20</v>
      </c>
      <c r="AB31" s="24">
        <f>(AA31/AA30)</f>
        <v>1.401541695865452E-2</v>
      </c>
      <c r="AC31" s="26"/>
      <c r="AD31" s="23">
        <f>AD9+AD20</f>
        <v>25</v>
      </c>
      <c r="AE31" s="24">
        <f>(AD31/AD30)</f>
        <v>1.7373175816539264E-2</v>
      </c>
      <c r="AF31" s="26"/>
      <c r="AG31" s="23">
        <f>AG9+AG20</f>
        <v>27</v>
      </c>
      <c r="AH31" s="24">
        <f>(AG31/AG30)</f>
        <v>1.8973998594518624E-2</v>
      </c>
      <c r="AI31" s="26"/>
      <c r="AJ31" s="23">
        <f>AJ9+AJ20</f>
        <v>28</v>
      </c>
      <c r="AK31" s="24">
        <f>(AJ31/AJ30)</f>
        <v>1.9649122807017545E-2</v>
      </c>
      <c r="AL31" s="26"/>
      <c r="AM31" s="23">
        <f>AM9+AM20</f>
        <v>31</v>
      </c>
      <c r="AN31" s="24">
        <f>(AM31/AM30)</f>
        <v>2.2206303724928367E-2</v>
      </c>
      <c r="AO31" s="22"/>
      <c r="AP31" s="23">
        <f>AP9+AP20</f>
        <v>22</v>
      </c>
      <c r="AQ31" s="24">
        <f>(AP31/AP30)</f>
        <v>1.6236162361623615E-2</v>
      </c>
      <c r="AR31" s="22"/>
      <c r="AS31" s="23">
        <f>AS9+AS20</f>
        <v>20</v>
      </c>
      <c r="AT31" s="24">
        <f>(AS31/AS30)</f>
        <v>1.4609203798392988E-2</v>
      </c>
      <c r="AU31" s="22"/>
      <c r="AV31" s="23">
        <f>AV9+AV20</f>
        <v>22</v>
      </c>
      <c r="AW31" s="24">
        <f>(AV31/AV30)</f>
        <v>1.6430171769977596E-2</v>
      </c>
      <c r="AX31" s="22"/>
      <c r="AY31" s="23">
        <f>AY9+AY20</f>
        <v>22</v>
      </c>
      <c r="AZ31" s="24">
        <f>(AY31/AY30)</f>
        <v>1.6200294550810016E-2</v>
      </c>
      <c r="BA31" s="22"/>
      <c r="BB31" s="23">
        <f>BB9+BB20</f>
        <v>22</v>
      </c>
      <c r="BC31" s="24">
        <f>(BB31/BB30)</f>
        <v>1.6755521706016754E-2</v>
      </c>
      <c r="BD31" s="22"/>
      <c r="BE31" s="23">
        <f>BE9+BE20</f>
        <v>21</v>
      </c>
      <c r="BF31" s="24">
        <f>(BE31/BE30)</f>
        <v>1.6253869969040248E-2</v>
      </c>
      <c r="BG31" s="22"/>
      <c r="BH31" s="23">
        <f>BH9+BH20</f>
        <v>22</v>
      </c>
      <c r="BI31" s="24">
        <f>(BH31/BH30)</f>
        <v>1.6742770167427701E-2</v>
      </c>
      <c r="BJ31" s="22"/>
      <c r="BK31" s="23">
        <f t="shared" ref="BK31:BK36" si="25">BK9+BK20</f>
        <v>23</v>
      </c>
      <c r="BL31" s="24">
        <f>(BK31/BK30)</f>
        <v>1.7087667161961365E-2</v>
      </c>
      <c r="BM31" s="22"/>
      <c r="BN31" s="23">
        <f t="shared" ref="BN31:BN36" si="26">BN9+BN20</f>
        <v>22</v>
      </c>
      <c r="BO31" s="24">
        <f>(BN31/BN30)</f>
        <v>1.6819571865443424E-2</v>
      </c>
      <c r="BP31" s="22"/>
      <c r="BQ31" s="23">
        <f t="shared" ref="BQ31:BQ36" si="27">BQ9+BQ20</f>
        <v>23</v>
      </c>
      <c r="BR31" s="24">
        <f>(BQ31/BQ30)</f>
        <v>1.7788089713843776E-2</v>
      </c>
      <c r="BS31" s="22"/>
      <c r="BT31" s="23">
        <f t="shared" ref="BT31:BT36" si="28">BT9+BT20</f>
        <v>26</v>
      </c>
      <c r="BU31" s="24">
        <f>(BT31/BT30)</f>
        <v>1.9534184823441023E-2</v>
      </c>
      <c r="BV31" s="22"/>
      <c r="BW31" s="23">
        <f t="shared" ref="BW31:BW36" si="29">BW9+BW20</f>
        <v>25</v>
      </c>
      <c r="BX31" s="24">
        <f>(BW31/BW30)</f>
        <v>1.9142419601837671E-2</v>
      </c>
      <c r="BY31" s="22"/>
      <c r="BZ31" s="23">
        <f t="shared" ref="BZ31:BZ36" si="30">BZ9+BZ20</f>
        <v>29</v>
      </c>
      <c r="CA31" s="24">
        <f>(BZ31/BZ30)</f>
        <v>2.2003034901365705E-2</v>
      </c>
      <c r="CB31" s="22"/>
      <c r="CC31" s="23">
        <f t="shared" ref="CC31:CC36" si="31">CC9+CC20</f>
        <v>32</v>
      </c>
      <c r="CD31" s="24">
        <f>(CC31/CC30)</f>
        <v>2.3038156947444204E-2</v>
      </c>
      <c r="CE31" s="22"/>
      <c r="CF31" s="23">
        <f t="shared" ref="CF31:CF36" si="32">CF9+CF20</f>
        <v>30</v>
      </c>
      <c r="CG31" s="24">
        <f>(CF31/CF30)</f>
        <v>2.1849963583394028E-2</v>
      </c>
      <c r="CH31" s="22"/>
      <c r="CI31" s="23">
        <f>SUM(CI20,CI9)</f>
        <v>30</v>
      </c>
      <c r="CJ31" s="24">
        <f>CI31/CI30</f>
        <v>2.2026431718061675E-2</v>
      </c>
      <c r="CK31" s="22"/>
      <c r="CL31" s="23">
        <f t="shared" si="17"/>
        <v>31</v>
      </c>
      <c r="CM31" s="24">
        <f>CL31/1356</f>
        <v>2.2861356932153392E-2</v>
      </c>
      <c r="CN31" s="22"/>
      <c r="CO31" s="83">
        <f t="shared" si="18"/>
        <v>27</v>
      </c>
      <c r="CP31" s="24">
        <f t="shared" ref="CP31:CP39" si="33">CO31/1309</f>
        <v>2.0626432391138275E-2</v>
      </c>
      <c r="CQ31" s="22"/>
      <c r="CR31" s="23">
        <f t="shared" si="19"/>
        <v>30</v>
      </c>
      <c r="CS31" s="24">
        <f t="shared" ref="CS31:CS40" si="34">CR31/$CR$30</f>
        <v>2.3455824863174355E-2</v>
      </c>
      <c r="CT31" s="22"/>
      <c r="CU31" s="23">
        <f t="shared" si="20"/>
        <v>26</v>
      </c>
      <c r="CV31" s="24">
        <f>CU31/$CX$30</f>
        <v>2.2108843537414966E-2</v>
      </c>
      <c r="CW31" s="22"/>
      <c r="CX31" s="23">
        <f t="shared" si="21"/>
        <v>25</v>
      </c>
      <c r="CY31" s="24">
        <f t="shared" ref="CY31:CY40" si="35">CX31/$CX$30</f>
        <v>2.1258503401360544E-2</v>
      </c>
      <c r="CZ31" s="23"/>
      <c r="DA31" s="23">
        <f t="shared" si="22"/>
        <v>22</v>
      </c>
      <c r="DB31" s="24">
        <f>DA31/$DA$30</f>
        <v>1.9298245614035089E-2</v>
      </c>
      <c r="DC31" s="23"/>
      <c r="DD31" s="23">
        <f t="shared" si="23"/>
        <v>21</v>
      </c>
      <c r="DE31" s="24">
        <f>DD31/$DA$30</f>
        <v>1.8421052631578946E-2</v>
      </c>
      <c r="DF31" s="23"/>
      <c r="DG31" s="23">
        <f t="shared" si="24"/>
        <v>19</v>
      </c>
      <c r="DH31" s="24">
        <f>DG31/$DA$30</f>
        <v>1.6666666666666666E-2</v>
      </c>
    </row>
    <row r="32" spans="1:112" s="27" customFormat="1" ht="10.15" customHeight="1">
      <c r="A32" s="22"/>
      <c r="B32" s="22"/>
      <c r="C32" s="22"/>
      <c r="D32" s="116" t="s">
        <v>9</v>
      </c>
      <c r="E32" s="116"/>
      <c r="F32" s="23">
        <f>F10+F21</f>
        <v>1</v>
      </c>
      <c r="G32" s="24">
        <f>(F32/F30)</f>
        <v>6.8073519400953025E-4</v>
      </c>
      <c r="H32" s="23"/>
      <c r="I32" s="23">
        <f>I10+I21</f>
        <v>1</v>
      </c>
      <c r="J32" s="24">
        <f>(I32/I30)</f>
        <v>6.9060773480662981E-4</v>
      </c>
      <c r="K32" s="25"/>
      <c r="L32" s="23">
        <f>L10+L21</f>
        <v>2</v>
      </c>
      <c r="M32" s="24">
        <f>(L32/L30)</f>
        <v>1.3812154696132596E-3</v>
      </c>
      <c r="N32" s="26"/>
      <c r="O32" s="23">
        <f>O10+O21</f>
        <v>4</v>
      </c>
      <c r="P32" s="24">
        <f>(O32/O30)</f>
        <v>2.7453671928620452E-3</v>
      </c>
      <c r="Q32" s="26"/>
      <c r="R32" s="23">
        <f>R10+R21</f>
        <v>4</v>
      </c>
      <c r="S32" s="24">
        <f>(R32/R30)</f>
        <v>2.7491408934707906E-3</v>
      </c>
      <c r="T32" s="26"/>
      <c r="U32" s="23">
        <f>U10+U21</f>
        <v>3</v>
      </c>
      <c r="V32" s="24">
        <f>(U32/U30)</f>
        <v>2.0618556701030928E-3</v>
      </c>
      <c r="W32" s="26"/>
      <c r="X32" s="23">
        <f>X10+X21</f>
        <v>2</v>
      </c>
      <c r="Y32" s="24">
        <f>(X32/X30)</f>
        <v>1.3764624913971094E-3</v>
      </c>
      <c r="Z32" s="26"/>
      <c r="AA32" s="23">
        <f>AA10+AA21</f>
        <v>4</v>
      </c>
      <c r="AB32" s="24">
        <f>(AA32/AA30)</f>
        <v>2.8030833917309038E-3</v>
      </c>
      <c r="AC32" s="26"/>
      <c r="AD32" s="23">
        <f>AD10+AD21</f>
        <v>7</v>
      </c>
      <c r="AE32" s="24">
        <f>(AD32/AD30)</f>
        <v>4.864489228630994E-3</v>
      </c>
      <c r="AF32" s="26"/>
      <c r="AG32" s="23">
        <f>AG10+AG21</f>
        <v>7</v>
      </c>
      <c r="AH32" s="24">
        <f>(AG32/AG30)</f>
        <v>4.9191848208011242E-3</v>
      </c>
      <c r="AI32" s="26"/>
      <c r="AJ32" s="23">
        <f>AJ10+AJ21</f>
        <v>9</v>
      </c>
      <c r="AK32" s="24">
        <f>(AJ32/AJ30)</f>
        <v>6.3157894736842104E-3</v>
      </c>
      <c r="AL32" s="26"/>
      <c r="AM32" s="23">
        <f>AM10+AM21</f>
        <v>9</v>
      </c>
      <c r="AN32" s="24">
        <f>(AM32/AM30)</f>
        <v>6.4469914040114614E-3</v>
      </c>
      <c r="AO32" s="22"/>
      <c r="AP32" s="23">
        <f>AP10+AP21</f>
        <v>10</v>
      </c>
      <c r="AQ32" s="24">
        <f>(AP32/AP30)</f>
        <v>7.3800738007380072E-3</v>
      </c>
      <c r="AR32" s="22"/>
      <c r="AS32" s="23">
        <f>AS10+AS21</f>
        <v>8</v>
      </c>
      <c r="AT32" s="24">
        <f>(AS32/AS30)</f>
        <v>5.8436815193571951E-3</v>
      </c>
      <c r="AU32" s="22"/>
      <c r="AV32" s="23">
        <f>AV10+AV21</f>
        <v>8</v>
      </c>
      <c r="AW32" s="24">
        <f>(AV32/AV30)</f>
        <v>5.9746079163554896E-3</v>
      </c>
      <c r="AX32" s="22"/>
      <c r="AY32" s="23">
        <f>AY10+AY21</f>
        <v>5</v>
      </c>
      <c r="AZ32" s="24">
        <f>(AY32/AY30)</f>
        <v>3.6818851251840942E-3</v>
      </c>
      <c r="BA32" s="22"/>
      <c r="BB32" s="23">
        <f>BB10+BB21</f>
        <v>7</v>
      </c>
      <c r="BC32" s="24">
        <f>(BB32/BB30)</f>
        <v>5.3313023610053311E-3</v>
      </c>
      <c r="BD32" s="22"/>
      <c r="BE32" s="23">
        <f>BE10+BE21</f>
        <v>7</v>
      </c>
      <c r="BF32" s="24">
        <f>(BE32/BE30)</f>
        <v>5.4179566563467493E-3</v>
      </c>
      <c r="BG32" s="22"/>
      <c r="BH32" s="23">
        <f>BH10+BH21</f>
        <v>7</v>
      </c>
      <c r="BI32" s="24">
        <f>(BH32/BH30)</f>
        <v>5.3272450532724502E-3</v>
      </c>
      <c r="BJ32" s="22"/>
      <c r="BK32" s="23">
        <f t="shared" si="25"/>
        <v>6</v>
      </c>
      <c r="BL32" s="24">
        <f>(BK32/BK30)</f>
        <v>4.4576523031203564E-3</v>
      </c>
      <c r="BM32" s="22"/>
      <c r="BN32" s="23">
        <f t="shared" si="26"/>
        <v>5</v>
      </c>
      <c r="BO32" s="24">
        <f>(BN32/BN30)</f>
        <v>3.8226299694189602E-3</v>
      </c>
      <c r="BP32" s="22"/>
      <c r="BQ32" s="23">
        <f t="shared" si="27"/>
        <v>5</v>
      </c>
      <c r="BR32" s="24">
        <f>(BQ32/BQ30)</f>
        <v>3.8669760247486465E-3</v>
      </c>
      <c r="BS32" s="22"/>
      <c r="BT32" s="23">
        <f t="shared" si="28"/>
        <v>5</v>
      </c>
      <c r="BU32" s="24">
        <f>(BT32/BT30)</f>
        <v>3.7565740045078888E-3</v>
      </c>
      <c r="BV32" s="22"/>
      <c r="BW32" s="23">
        <f t="shared" si="29"/>
        <v>5</v>
      </c>
      <c r="BX32" s="24">
        <f>(BW32/BW30)</f>
        <v>3.8284839203675345E-3</v>
      </c>
      <c r="BY32" s="22"/>
      <c r="BZ32" s="23">
        <f t="shared" si="30"/>
        <v>4</v>
      </c>
      <c r="CA32" s="24">
        <f>(BZ32/BZ30)</f>
        <v>3.0349013657056147E-3</v>
      </c>
      <c r="CB32" s="22"/>
      <c r="CC32" s="23">
        <f t="shared" si="31"/>
        <v>3</v>
      </c>
      <c r="CD32" s="24">
        <f>(CC32/CC30)</f>
        <v>2.1598272138228943E-3</v>
      </c>
      <c r="CE32" s="22"/>
      <c r="CF32" s="23">
        <f t="shared" si="32"/>
        <v>3</v>
      </c>
      <c r="CG32" s="24">
        <f>(CF32/CF30)</f>
        <v>2.1849963583394027E-3</v>
      </c>
      <c r="CH32" s="22"/>
      <c r="CI32" s="23">
        <f>CI21+CI10</f>
        <v>3</v>
      </c>
      <c r="CJ32" s="24">
        <f>CI32/CI30</f>
        <v>2.2026431718061676E-3</v>
      </c>
      <c r="CK32" s="22"/>
      <c r="CL32" s="23">
        <f t="shared" si="17"/>
        <v>3</v>
      </c>
      <c r="CM32" s="24">
        <f t="shared" ref="CM32:CM39" si="36">CL32/1356</f>
        <v>2.2123893805309734E-3</v>
      </c>
      <c r="CN32" s="22"/>
      <c r="CO32" s="83">
        <f t="shared" si="18"/>
        <v>3</v>
      </c>
      <c r="CP32" s="24">
        <f t="shared" si="33"/>
        <v>2.2918258212375861E-3</v>
      </c>
      <c r="CQ32" s="22"/>
      <c r="CR32" s="23">
        <f t="shared" si="19"/>
        <v>4</v>
      </c>
      <c r="CS32" s="24">
        <f t="shared" si="34"/>
        <v>3.1274433150899139E-3</v>
      </c>
      <c r="CT32" s="22"/>
      <c r="CU32" s="23">
        <f t="shared" si="20"/>
        <v>4</v>
      </c>
      <c r="CV32" s="24">
        <f t="shared" ref="CV32:CV37" si="37">CU32/$CX$30</f>
        <v>3.4013605442176869E-3</v>
      </c>
      <c r="CW32" s="22"/>
      <c r="CX32" s="23">
        <f t="shared" si="21"/>
        <v>4</v>
      </c>
      <c r="CY32" s="24">
        <f t="shared" si="35"/>
        <v>3.4013605442176869E-3</v>
      </c>
      <c r="CZ32" s="23"/>
      <c r="DA32" s="23">
        <f t="shared" si="22"/>
        <v>4</v>
      </c>
      <c r="DB32" s="24">
        <f t="shared" ref="DB32:DB40" si="38">DA32/$DA$30</f>
        <v>3.5087719298245615E-3</v>
      </c>
      <c r="DC32" s="23"/>
      <c r="DD32" s="23">
        <f t="shared" si="23"/>
        <v>4</v>
      </c>
      <c r="DE32" s="24">
        <f t="shared" ref="DE32:DE40" si="39">DD32/$DA$30</f>
        <v>3.5087719298245615E-3</v>
      </c>
      <c r="DF32" s="23"/>
      <c r="DG32" s="23">
        <f t="shared" si="24"/>
        <v>4</v>
      </c>
      <c r="DH32" s="24">
        <f t="shared" ref="DH32:DH40" si="40">DG32/$DA$30</f>
        <v>3.5087719298245615E-3</v>
      </c>
    </row>
    <row r="33" spans="1:112" s="27" customFormat="1" ht="10.15" customHeight="1">
      <c r="A33" s="22"/>
      <c r="B33" s="22"/>
      <c r="C33" s="22"/>
      <c r="D33" s="116" t="s">
        <v>32</v>
      </c>
      <c r="E33" s="116"/>
      <c r="F33" s="23">
        <f>F11+F22</f>
        <v>83</v>
      </c>
      <c r="G33" s="24">
        <f>(F33/F30)</f>
        <v>5.6501021102791017E-2</v>
      </c>
      <c r="H33" s="23"/>
      <c r="I33" s="23">
        <f>I11+I22</f>
        <v>86</v>
      </c>
      <c r="J33" s="24">
        <f>(I33/I30)</f>
        <v>5.9392265193370167E-2</v>
      </c>
      <c r="K33" s="25"/>
      <c r="L33" s="23">
        <f>L11+L22</f>
        <v>95</v>
      </c>
      <c r="M33" s="24">
        <f>(L33/L30)</f>
        <v>6.5607734806629833E-2</v>
      </c>
      <c r="N33" s="26"/>
      <c r="O33" s="23">
        <f>O11+O22</f>
        <v>102</v>
      </c>
      <c r="P33" s="24">
        <f>(O33/O30)</f>
        <v>7.0006863417982151E-2</v>
      </c>
      <c r="Q33" s="26"/>
      <c r="R33" s="23">
        <f>R11+R22</f>
        <v>102</v>
      </c>
      <c r="S33" s="24">
        <f>(R33/R30)</f>
        <v>7.0103092783505155E-2</v>
      </c>
      <c r="T33" s="26"/>
      <c r="U33" s="23">
        <f>U11+U22</f>
        <v>98</v>
      </c>
      <c r="V33" s="24">
        <f>(U33/U30)</f>
        <v>6.7353951890034361E-2</v>
      </c>
      <c r="W33" s="26"/>
      <c r="X33" s="23">
        <f>X11+X22</f>
        <v>107</v>
      </c>
      <c r="Y33" s="24">
        <f>(X33/X30)</f>
        <v>7.3640743289745361E-2</v>
      </c>
      <c r="Z33" s="26"/>
      <c r="AA33" s="23">
        <f>AA11+AA22</f>
        <v>113</v>
      </c>
      <c r="AB33" s="24">
        <f>(AA33/AA30)</f>
        <v>7.918710581639804E-2</v>
      </c>
      <c r="AC33" s="26"/>
      <c r="AD33" s="23">
        <f>AD11+AD22</f>
        <v>117</v>
      </c>
      <c r="AE33" s="24">
        <f>(AD33/AD30)</f>
        <v>8.1306462821403747E-2</v>
      </c>
      <c r="AF33" s="26"/>
      <c r="AG33" s="23">
        <f>AG11+AG22</f>
        <v>124</v>
      </c>
      <c r="AH33" s="24">
        <f>(AG33/AG30)</f>
        <v>8.7139845397048485E-2</v>
      </c>
      <c r="AI33" s="26"/>
      <c r="AJ33" s="23">
        <f>AJ11+AJ22</f>
        <v>134</v>
      </c>
      <c r="AK33" s="24">
        <f>(AJ33/AJ30)</f>
        <v>9.4035087719298249E-2</v>
      </c>
      <c r="AL33" s="26"/>
      <c r="AM33" s="23">
        <f>AM11+AM22</f>
        <v>140</v>
      </c>
      <c r="AN33" s="24">
        <f>(AM33/AM30)</f>
        <v>0.10028653295128939</v>
      </c>
      <c r="AO33" s="22"/>
      <c r="AP33" s="23">
        <f>AP11+AP22</f>
        <v>146</v>
      </c>
      <c r="AQ33" s="24">
        <f>(AP33/AP30)</f>
        <v>0.10774907749077491</v>
      </c>
      <c r="AR33" s="22"/>
      <c r="AS33" s="23">
        <f>AS11+AS22</f>
        <v>165</v>
      </c>
      <c r="AT33" s="24">
        <f>(AS33/AS30)</f>
        <v>0.12052593133674215</v>
      </c>
      <c r="AU33" s="22"/>
      <c r="AV33" s="23">
        <f>AV11+AV22</f>
        <v>168</v>
      </c>
      <c r="AW33" s="24">
        <f>(AV33/AV30)</f>
        <v>0.12546676624346528</v>
      </c>
      <c r="AX33" s="22"/>
      <c r="AY33" s="23">
        <f>AY11+AY22</f>
        <v>177</v>
      </c>
      <c r="AZ33" s="24">
        <f>(AY33/AY30)</f>
        <v>0.13033873343151695</v>
      </c>
      <c r="BA33" s="22"/>
      <c r="BB33" s="23">
        <f>BB11+BB22</f>
        <v>187</v>
      </c>
      <c r="BC33" s="24">
        <f>(BB33/BB30)</f>
        <v>0.14242193450114243</v>
      </c>
      <c r="BD33" s="22"/>
      <c r="BE33" s="23">
        <f>BE11+BE22</f>
        <v>200</v>
      </c>
      <c r="BF33" s="24">
        <f>(BE33/BE30)</f>
        <v>0.15479876160990713</v>
      </c>
      <c r="BG33" s="22"/>
      <c r="BH33" s="23">
        <f>BH11+BH22</f>
        <v>213</v>
      </c>
      <c r="BI33" s="24">
        <f>(BH33/BH30)</f>
        <v>0.16210045662100456</v>
      </c>
      <c r="BJ33" s="22"/>
      <c r="BK33" s="23">
        <f t="shared" si="25"/>
        <v>214</v>
      </c>
      <c r="BL33" s="24">
        <f>(BK33/BK30)</f>
        <v>0.15898959881129271</v>
      </c>
      <c r="BM33" s="22"/>
      <c r="BN33" s="23">
        <f t="shared" si="26"/>
        <v>206</v>
      </c>
      <c r="BO33" s="24">
        <f>(BN33/BN30)</f>
        <v>0.15749235474006115</v>
      </c>
      <c r="BP33" s="22"/>
      <c r="BQ33" s="23">
        <f t="shared" si="27"/>
        <v>215</v>
      </c>
      <c r="BR33" s="24">
        <f>(BQ33/BQ30)</f>
        <v>0.16627996906419179</v>
      </c>
      <c r="BS33" s="22"/>
      <c r="BT33" s="23">
        <f t="shared" si="28"/>
        <v>227</v>
      </c>
      <c r="BU33" s="24">
        <f>(BT33/BT30)</f>
        <v>0.17054845980465816</v>
      </c>
      <c r="BV33" s="22"/>
      <c r="BW33" s="23">
        <f t="shared" si="29"/>
        <v>230</v>
      </c>
      <c r="BX33" s="24">
        <f>(BW33/BW30)</f>
        <v>0.17611026033690658</v>
      </c>
      <c r="BY33" s="22"/>
      <c r="BZ33" s="23">
        <f t="shared" si="30"/>
        <v>249</v>
      </c>
      <c r="CA33" s="24">
        <f>(BZ33/BZ30)</f>
        <v>0.18892261001517452</v>
      </c>
      <c r="CB33" s="22"/>
      <c r="CC33" s="23">
        <f t="shared" si="31"/>
        <v>269</v>
      </c>
      <c r="CD33" s="24">
        <f>(CC33/CC30)</f>
        <v>0.19366450683945285</v>
      </c>
      <c r="CE33" s="22"/>
      <c r="CF33" s="23">
        <f t="shared" si="32"/>
        <v>271</v>
      </c>
      <c r="CG33" s="24">
        <f>(CF33/CF30)</f>
        <v>0.19737800436999273</v>
      </c>
      <c r="CH33" s="22"/>
      <c r="CI33" s="23">
        <f>CI22+CI11</f>
        <v>280</v>
      </c>
      <c r="CJ33" s="24">
        <f>CI33/CI30</f>
        <v>0.20558002936857561</v>
      </c>
      <c r="CK33" s="22"/>
      <c r="CL33" s="23">
        <f t="shared" si="17"/>
        <v>281</v>
      </c>
      <c r="CM33" s="24">
        <f t="shared" si="36"/>
        <v>0.20722713864306785</v>
      </c>
      <c r="CN33" s="22"/>
      <c r="CO33" s="83">
        <f t="shared" si="18"/>
        <v>246</v>
      </c>
      <c r="CP33" s="24">
        <f t="shared" si="33"/>
        <v>0.18792971734148206</v>
      </c>
      <c r="CQ33" s="22"/>
      <c r="CR33" s="23">
        <f t="shared" si="19"/>
        <v>242</v>
      </c>
      <c r="CS33" s="24">
        <f t="shared" si="34"/>
        <v>0.18921032056293979</v>
      </c>
      <c r="CT33" s="22"/>
      <c r="CU33" s="23">
        <f t="shared" si="20"/>
        <v>239</v>
      </c>
      <c r="CV33" s="24">
        <f t="shared" si="37"/>
        <v>0.20323129251700681</v>
      </c>
      <c r="CW33" s="22"/>
      <c r="CX33" s="23">
        <f t="shared" si="21"/>
        <v>245</v>
      </c>
      <c r="CY33" s="24">
        <f t="shared" si="35"/>
        <v>0.20833333333333334</v>
      </c>
      <c r="CZ33" s="23"/>
      <c r="DA33" s="23">
        <f t="shared" si="22"/>
        <v>249</v>
      </c>
      <c r="DB33" s="24">
        <f t="shared" si="38"/>
        <v>0.21842105263157896</v>
      </c>
      <c r="DC33" s="23"/>
      <c r="DD33" s="23">
        <f t="shared" si="23"/>
        <v>244</v>
      </c>
      <c r="DE33" s="24">
        <f t="shared" si="39"/>
        <v>0.21403508771929824</v>
      </c>
      <c r="DF33" s="23"/>
      <c r="DG33" s="23">
        <f t="shared" si="24"/>
        <v>246</v>
      </c>
      <c r="DH33" s="24">
        <f t="shared" si="40"/>
        <v>0.21578947368421053</v>
      </c>
    </row>
    <row r="34" spans="1:112" s="27" customFormat="1" ht="10.15" customHeight="1">
      <c r="A34" s="22"/>
      <c r="B34" s="22"/>
      <c r="C34" s="22"/>
      <c r="D34" s="116" t="s">
        <v>10</v>
      </c>
      <c r="E34" s="116"/>
      <c r="F34" s="23">
        <f>F12+F23</f>
        <v>15</v>
      </c>
      <c r="G34" s="24">
        <f>(F34/F30)</f>
        <v>1.0211027910142955E-2</v>
      </c>
      <c r="H34" s="23"/>
      <c r="I34" s="23">
        <f>I12+I23</f>
        <v>11</v>
      </c>
      <c r="J34" s="24">
        <f>(I34/I30)</f>
        <v>7.5966850828729279E-3</v>
      </c>
      <c r="K34" s="25"/>
      <c r="L34" s="23">
        <f>L12+L23</f>
        <v>15</v>
      </c>
      <c r="M34" s="24">
        <f>(L34/L30)</f>
        <v>1.0359116022099447E-2</v>
      </c>
      <c r="N34" s="26"/>
      <c r="O34" s="23">
        <f>O12+O23</f>
        <v>19</v>
      </c>
      <c r="P34" s="24">
        <f>(O34/O30)</f>
        <v>1.3040494166094716E-2</v>
      </c>
      <c r="Q34" s="26"/>
      <c r="R34" s="23">
        <f>R12+R23</f>
        <v>21</v>
      </c>
      <c r="S34" s="24">
        <f>(R34/R30)</f>
        <v>1.443298969072165E-2</v>
      </c>
      <c r="T34" s="26"/>
      <c r="U34" s="23">
        <f>U12+U23</f>
        <v>22</v>
      </c>
      <c r="V34" s="24">
        <f>(U34/U30)</f>
        <v>1.5120274914089347E-2</v>
      </c>
      <c r="W34" s="26"/>
      <c r="X34" s="23">
        <f>X12+X23</f>
        <v>22</v>
      </c>
      <c r="Y34" s="24">
        <f>(X34/X30)</f>
        <v>1.5141087405368204E-2</v>
      </c>
      <c r="Z34" s="26"/>
      <c r="AA34" s="23">
        <f>AA12+AA23</f>
        <v>25</v>
      </c>
      <c r="AB34" s="24">
        <f>(AA34/AA30)</f>
        <v>1.751927119831815E-2</v>
      </c>
      <c r="AC34" s="26"/>
      <c r="AD34" s="23">
        <f>AD12+AD23</f>
        <v>23</v>
      </c>
      <c r="AE34" s="24">
        <f>(AD34/AD30)</f>
        <v>1.5983321751216122E-2</v>
      </c>
      <c r="AF34" s="26"/>
      <c r="AG34" s="23">
        <f>AG12+AG23</f>
        <v>23</v>
      </c>
      <c r="AH34" s="24">
        <f>(AG34/AG30)</f>
        <v>1.6163035839775124E-2</v>
      </c>
      <c r="AI34" s="26"/>
      <c r="AJ34" s="23">
        <f>AJ12+AJ23</f>
        <v>25</v>
      </c>
      <c r="AK34" s="24">
        <f>(AJ34/AJ30)</f>
        <v>1.7543859649122806E-2</v>
      </c>
      <c r="AL34" s="26"/>
      <c r="AM34" s="23">
        <f>AM12+AM23</f>
        <v>25</v>
      </c>
      <c r="AN34" s="24">
        <f>(AM34/AM30)</f>
        <v>1.7908309455587391E-2</v>
      </c>
      <c r="AO34" s="22"/>
      <c r="AP34" s="23">
        <f>AP12+AP23</f>
        <v>26</v>
      </c>
      <c r="AQ34" s="24">
        <f>(AP34/AP30)</f>
        <v>1.9188191881918819E-2</v>
      </c>
      <c r="AR34" s="22"/>
      <c r="AS34" s="23">
        <f>AS12+AS23</f>
        <v>29</v>
      </c>
      <c r="AT34" s="24">
        <f>(AS34/AS30)</f>
        <v>2.1183345507669833E-2</v>
      </c>
      <c r="AU34" s="22"/>
      <c r="AV34" s="23">
        <f>AV12+AV23</f>
        <v>28</v>
      </c>
      <c r="AW34" s="24">
        <f>(AV34/AV30)</f>
        <v>2.0911127707244213E-2</v>
      </c>
      <c r="AX34" s="22"/>
      <c r="AY34" s="23">
        <f>AY12+AY23</f>
        <v>29</v>
      </c>
      <c r="AZ34" s="24">
        <f>(AY34/AY30)</f>
        <v>2.1354933726067747E-2</v>
      </c>
      <c r="BA34" s="22"/>
      <c r="BB34" s="23">
        <f>BB12+BB23</f>
        <v>28</v>
      </c>
      <c r="BC34" s="24">
        <f>(BB34/BB30)</f>
        <v>2.1325209444021324E-2</v>
      </c>
      <c r="BD34" s="22"/>
      <c r="BE34" s="23">
        <f>BE12+BE23</f>
        <v>28</v>
      </c>
      <c r="BF34" s="24">
        <f>(BE34/BE30)</f>
        <v>2.1671826625386997E-2</v>
      </c>
      <c r="BG34" s="22"/>
      <c r="BH34" s="23">
        <f>BH12+BH23</f>
        <v>26</v>
      </c>
      <c r="BI34" s="24">
        <f>(BH34/BH30)</f>
        <v>1.9786910197869101E-2</v>
      </c>
      <c r="BJ34" s="22"/>
      <c r="BK34" s="23">
        <f t="shared" si="25"/>
        <v>31</v>
      </c>
      <c r="BL34" s="24">
        <f>(BK34/BK30)</f>
        <v>2.3031203566121844E-2</v>
      </c>
      <c r="BM34" s="22"/>
      <c r="BN34" s="23">
        <f t="shared" si="26"/>
        <v>28</v>
      </c>
      <c r="BO34" s="24">
        <f>(BN34/BN30)</f>
        <v>2.1406727828746176E-2</v>
      </c>
      <c r="BP34" s="22"/>
      <c r="BQ34" s="23">
        <f t="shared" si="27"/>
        <v>30</v>
      </c>
      <c r="BR34" s="24">
        <f>(BQ34/BQ30)</f>
        <v>2.3201856148491878E-2</v>
      </c>
      <c r="BS34" s="22"/>
      <c r="BT34" s="23">
        <f t="shared" si="28"/>
        <v>33</v>
      </c>
      <c r="BU34" s="24">
        <f>(BT34/BT30)</f>
        <v>2.4793388429752067E-2</v>
      </c>
      <c r="BV34" s="22"/>
      <c r="BW34" s="23">
        <f t="shared" si="29"/>
        <v>32</v>
      </c>
      <c r="BX34" s="24">
        <f>(BW34/BW30)</f>
        <v>2.4502297090352222E-2</v>
      </c>
      <c r="BY34" s="22"/>
      <c r="BZ34" s="23">
        <f t="shared" si="30"/>
        <v>36</v>
      </c>
      <c r="CA34" s="24">
        <f>(BZ34/BZ30)</f>
        <v>2.7314112291350532E-2</v>
      </c>
      <c r="CB34" s="22"/>
      <c r="CC34" s="23">
        <f t="shared" si="31"/>
        <v>42</v>
      </c>
      <c r="CD34" s="24">
        <f>(CC34/CC30)</f>
        <v>3.0237580993520519E-2</v>
      </c>
      <c r="CE34" s="22"/>
      <c r="CF34" s="23">
        <f t="shared" si="32"/>
        <v>43</v>
      </c>
      <c r="CG34" s="24">
        <f>(CF34/CF30)</f>
        <v>3.1318281136198105E-2</v>
      </c>
      <c r="CH34" s="22"/>
      <c r="CI34" s="23">
        <f>CI23+CI12</f>
        <v>51</v>
      </c>
      <c r="CJ34" s="24">
        <f>CI34/CI30</f>
        <v>3.7444933920704845E-2</v>
      </c>
      <c r="CK34" s="22"/>
      <c r="CL34" s="23">
        <f t="shared" si="17"/>
        <v>51</v>
      </c>
      <c r="CM34" s="24">
        <f t="shared" si="36"/>
        <v>3.7610619469026552E-2</v>
      </c>
      <c r="CN34" s="22"/>
      <c r="CO34" s="83">
        <f t="shared" si="18"/>
        <v>42</v>
      </c>
      <c r="CP34" s="24">
        <f t="shared" si="33"/>
        <v>3.2085561497326207E-2</v>
      </c>
      <c r="CQ34" s="22"/>
      <c r="CR34" s="23">
        <f t="shared" si="19"/>
        <v>44</v>
      </c>
      <c r="CS34" s="24">
        <f t="shared" si="34"/>
        <v>3.4401876465989051E-2</v>
      </c>
      <c r="CT34" s="22"/>
      <c r="CU34" s="23">
        <f t="shared" si="20"/>
        <v>44</v>
      </c>
      <c r="CV34" s="24">
        <f t="shared" si="37"/>
        <v>3.7414965986394558E-2</v>
      </c>
      <c r="CW34" s="22"/>
      <c r="CX34" s="23">
        <f t="shared" si="21"/>
        <v>42</v>
      </c>
      <c r="CY34" s="24">
        <f t="shared" si="35"/>
        <v>3.5714285714285712E-2</v>
      </c>
      <c r="CZ34" s="23"/>
      <c r="DA34" s="23">
        <f t="shared" si="22"/>
        <v>42</v>
      </c>
      <c r="DB34" s="24">
        <f t="shared" si="38"/>
        <v>3.6842105263157891E-2</v>
      </c>
      <c r="DC34" s="23"/>
      <c r="DD34" s="23">
        <f t="shared" si="23"/>
        <v>43</v>
      </c>
      <c r="DE34" s="24">
        <f t="shared" si="39"/>
        <v>3.7719298245614034E-2</v>
      </c>
      <c r="DF34" s="23"/>
      <c r="DG34" s="23">
        <f t="shared" si="24"/>
        <v>46</v>
      </c>
      <c r="DH34" s="24">
        <f t="shared" si="40"/>
        <v>4.0350877192982457E-2</v>
      </c>
    </row>
    <row r="35" spans="1:112" s="27" customFormat="1" ht="10.15" customHeight="1">
      <c r="A35" s="22"/>
      <c r="B35" s="22"/>
      <c r="C35" s="22"/>
      <c r="D35" s="116" t="s">
        <v>33</v>
      </c>
      <c r="E35" s="116"/>
      <c r="F35" s="23"/>
      <c r="G35" s="24"/>
      <c r="H35" s="23"/>
      <c r="I35" s="23"/>
      <c r="J35" s="24"/>
      <c r="K35" s="25"/>
      <c r="L35" s="23"/>
      <c r="M35" s="24"/>
      <c r="N35" s="26"/>
      <c r="O35" s="23"/>
      <c r="P35" s="24"/>
      <c r="Q35" s="26"/>
      <c r="R35" s="23"/>
      <c r="S35" s="24"/>
      <c r="T35" s="26"/>
      <c r="U35" s="23"/>
      <c r="V35" s="24"/>
      <c r="W35" s="26"/>
      <c r="X35" s="23"/>
      <c r="Y35" s="24"/>
      <c r="Z35" s="26"/>
      <c r="AA35" s="23"/>
      <c r="AB35" s="24"/>
      <c r="AC35" s="26"/>
      <c r="AD35" s="23"/>
      <c r="AE35" s="24"/>
      <c r="AF35" s="26"/>
      <c r="AG35" s="23"/>
      <c r="AH35" s="24"/>
      <c r="AI35" s="26"/>
      <c r="AJ35" s="23"/>
      <c r="AK35" s="24"/>
      <c r="AL35" s="26"/>
      <c r="AM35" s="23"/>
      <c r="AN35" s="24"/>
      <c r="AO35" s="22"/>
      <c r="AP35" s="23"/>
      <c r="AQ35" s="24"/>
      <c r="AR35" s="22"/>
      <c r="AS35" s="23"/>
      <c r="AT35" s="24"/>
      <c r="AU35" s="22"/>
      <c r="AV35" s="23"/>
      <c r="AW35" s="24"/>
      <c r="AX35" s="22"/>
      <c r="AY35" s="23"/>
      <c r="AZ35" s="24"/>
      <c r="BA35" s="22"/>
      <c r="BB35" s="23"/>
      <c r="BC35" s="24"/>
      <c r="BD35" s="22"/>
      <c r="BE35" s="23"/>
      <c r="BF35" s="24"/>
      <c r="BG35" s="22"/>
      <c r="BH35" s="23"/>
      <c r="BI35" s="24"/>
      <c r="BJ35" s="22"/>
      <c r="BK35" s="23">
        <f t="shared" si="25"/>
        <v>0</v>
      </c>
      <c r="BL35" s="24">
        <f>BK35/BK30</f>
        <v>0</v>
      </c>
      <c r="BM35" s="22"/>
      <c r="BN35" s="23">
        <f t="shared" si="26"/>
        <v>1</v>
      </c>
      <c r="BO35" s="24">
        <f>BN35/BN30</f>
        <v>7.6452599388379206E-4</v>
      </c>
      <c r="BP35" s="22"/>
      <c r="BQ35" s="23">
        <f t="shared" si="27"/>
        <v>1</v>
      </c>
      <c r="BR35" s="24">
        <f>BQ35/BQ30</f>
        <v>7.7339520494972935E-4</v>
      </c>
      <c r="BS35" s="22"/>
      <c r="BT35" s="23">
        <f t="shared" si="28"/>
        <v>1</v>
      </c>
      <c r="BU35" s="24">
        <f>BT35/BT30</f>
        <v>7.513148009015778E-4</v>
      </c>
      <c r="BV35" s="22"/>
      <c r="BW35" s="23">
        <f t="shared" si="29"/>
        <v>1</v>
      </c>
      <c r="BX35" s="24">
        <f>BW35/BW30</f>
        <v>7.6569678407350692E-4</v>
      </c>
      <c r="BY35" s="22"/>
      <c r="BZ35" s="23">
        <f t="shared" si="30"/>
        <v>1</v>
      </c>
      <c r="CA35" s="24">
        <f>BZ35/BZ30</f>
        <v>7.5872534142640367E-4</v>
      </c>
      <c r="CB35" s="22"/>
      <c r="CC35" s="23">
        <f t="shared" si="31"/>
        <v>1</v>
      </c>
      <c r="CD35" s="24">
        <f>CC35/CC30</f>
        <v>7.1994240460763136E-4</v>
      </c>
      <c r="CE35" s="22"/>
      <c r="CF35" s="23">
        <f t="shared" si="32"/>
        <v>1</v>
      </c>
      <c r="CG35" s="24">
        <f>CF35/CF30</f>
        <v>7.2833211944646763E-4</v>
      </c>
      <c r="CH35" s="22"/>
      <c r="CI35" s="23">
        <f>CI24+CI13</f>
        <v>1</v>
      </c>
      <c r="CJ35" s="24">
        <f>CI35/CI30</f>
        <v>7.3421439060205576E-4</v>
      </c>
      <c r="CK35" s="22"/>
      <c r="CL35" s="23">
        <f t="shared" si="17"/>
        <v>1</v>
      </c>
      <c r="CM35" s="24">
        <f t="shared" si="36"/>
        <v>7.3746312684365781E-4</v>
      </c>
      <c r="CN35" s="22"/>
      <c r="CO35" s="83">
        <f t="shared" si="18"/>
        <v>1</v>
      </c>
      <c r="CP35" s="24">
        <f t="shared" si="33"/>
        <v>7.6394194041252863E-4</v>
      </c>
      <c r="CQ35" s="22"/>
      <c r="CR35" s="23">
        <f t="shared" si="19"/>
        <v>1</v>
      </c>
      <c r="CS35" s="24">
        <f t="shared" si="34"/>
        <v>7.8186082877247849E-4</v>
      </c>
      <c r="CT35" s="22"/>
      <c r="CU35" s="23">
        <f t="shared" si="20"/>
        <v>1</v>
      </c>
      <c r="CV35" s="24">
        <f t="shared" si="37"/>
        <v>8.5034013605442174E-4</v>
      </c>
      <c r="CW35" s="22"/>
      <c r="CX35" s="23">
        <f t="shared" si="21"/>
        <v>1</v>
      </c>
      <c r="CY35" s="24">
        <f t="shared" si="35"/>
        <v>8.5034013605442174E-4</v>
      </c>
      <c r="CZ35" s="23"/>
      <c r="DA35" s="23">
        <f t="shared" si="22"/>
        <v>1</v>
      </c>
      <c r="DB35" s="24">
        <f t="shared" si="38"/>
        <v>8.7719298245614037E-4</v>
      </c>
      <c r="DC35" s="23"/>
      <c r="DD35" s="23">
        <f t="shared" si="23"/>
        <v>1</v>
      </c>
      <c r="DE35" s="24">
        <f t="shared" si="39"/>
        <v>8.7719298245614037E-4</v>
      </c>
      <c r="DF35" s="23"/>
      <c r="DG35" s="23">
        <f t="shared" si="24"/>
        <v>1</v>
      </c>
      <c r="DH35" s="24">
        <f t="shared" si="40"/>
        <v>8.7719298245614037E-4</v>
      </c>
    </row>
    <row r="36" spans="1:112" s="27" customFormat="1" ht="10.15" customHeight="1">
      <c r="A36" s="22"/>
      <c r="B36" s="22"/>
      <c r="C36" s="22"/>
      <c r="D36" s="116" t="s">
        <v>34</v>
      </c>
      <c r="E36" s="116"/>
      <c r="F36" s="23"/>
      <c r="G36" s="24"/>
      <c r="H36" s="23"/>
      <c r="I36" s="23"/>
      <c r="J36" s="24"/>
      <c r="K36" s="25"/>
      <c r="L36" s="23"/>
      <c r="M36" s="24"/>
      <c r="N36" s="26"/>
      <c r="O36" s="23"/>
      <c r="P36" s="24"/>
      <c r="Q36" s="26"/>
      <c r="R36" s="23"/>
      <c r="S36" s="24"/>
      <c r="T36" s="26"/>
      <c r="U36" s="23"/>
      <c r="V36" s="24"/>
      <c r="W36" s="26"/>
      <c r="X36" s="23"/>
      <c r="Y36" s="24"/>
      <c r="Z36" s="26"/>
      <c r="AA36" s="23"/>
      <c r="AB36" s="24"/>
      <c r="AC36" s="26"/>
      <c r="AD36" s="23"/>
      <c r="AE36" s="24"/>
      <c r="AF36" s="26"/>
      <c r="AG36" s="23"/>
      <c r="AH36" s="24"/>
      <c r="AI36" s="26"/>
      <c r="AJ36" s="23"/>
      <c r="AK36" s="24"/>
      <c r="AL36" s="26"/>
      <c r="AM36" s="23"/>
      <c r="AN36" s="24"/>
      <c r="AO36" s="22"/>
      <c r="AP36" s="23"/>
      <c r="AQ36" s="24"/>
      <c r="AR36" s="22"/>
      <c r="AS36" s="23"/>
      <c r="AT36" s="24"/>
      <c r="AU36" s="22"/>
      <c r="AV36" s="23"/>
      <c r="AW36" s="24"/>
      <c r="AX36" s="22"/>
      <c r="AY36" s="23"/>
      <c r="AZ36" s="24"/>
      <c r="BA36" s="22"/>
      <c r="BB36" s="23"/>
      <c r="BC36" s="24"/>
      <c r="BD36" s="22"/>
      <c r="BE36" s="23"/>
      <c r="BF36" s="24"/>
      <c r="BG36" s="22"/>
      <c r="BH36" s="23"/>
      <c r="BI36" s="24"/>
      <c r="BJ36" s="22"/>
      <c r="BK36" s="23">
        <f t="shared" si="25"/>
        <v>1</v>
      </c>
      <c r="BL36" s="24">
        <f>BK36/BK30</f>
        <v>7.429420505200594E-4</v>
      </c>
      <c r="BM36" s="22"/>
      <c r="BN36" s="23">
        <f t="shared" si="26"/>
        <v>2</v>
      </c>
      <c r="BO36" s="24">
        <f>BN36/BN30</f>
        <v>1.5290519877675841E-3</v>
      </c>
      <c r="BP36" s="22"/>
      <c r="BQ36" s="23">
        <f t="shared" si="27"/>
        <v>3</v>
      </c>
      <c r="BR36" s="24">
        <f>BQ36/BQ30</f>
        <v>2.3201856148491878E-3</v>
      </c>
      <c r="BS36" s="22"/>
      <c r="BT36" s="23">
        <f t="shared" si="28"/>
        <v>2</v>
      </c>
      <c r="BU36" s="24">
        <f>BT36/BT30</f>
        <v>1.5026296018031556E-3</v>
      </c>
      <c r="BV36" s="22"/>
      <c r="BW36" s="23">
        <f t="shared" si="29"/>
        <v>1</v>
      </c>
      <c r="BX36" s="24">
        <f>BW36/BW30</f>
        <v>7.6569678407350692E-4</v>
      </c>
      <c r="BY36" s="22"/>
      <c r="BZ36" s="23">
        <f t="shared" si="30"/>
        <v>2</v>
      </c>
      <c r="CA36" s="24">
        <f>BZ36/BZ30</f>
        <v>1.5174506828528073E-3</v>
      </c>
      <c r="CB36" s="22"/>
      <c r="CC36" s="23">
        <f t="shared" si="31"/>
        <v>4</v>
      </c>
      <c r="CD36" s="24">
        <f>CC36/CC30</f>
        <v>2.8797696184305254E-3</v>
      </c>
      <c r="CE36" s="22"/>
      <c r="CF36" s="23">
        <f t="shared" si="32"/>
        <v>5</v>
      </c>
      <c r="CG36" s="24">
        <f>CF36/CF30</f>
        <v>3.6416605972323379E-3</v>
      </c>
      <c r="CH36" s="22"/>
      <c r="CI36" s="23">
        <f>CI25+CI14</f>
        <v>6</v>
      </c>
      <c r="CJ36" s="24">
        <f>CI36/CI30</f>
        <v>4.4052863436123352E-3</v>
      </c>
      <c r="CK36" s="22"/>
      <c r="CL36" s="23">
        <f t="shared" si="17"/>
        <v>6</v>
      </c>
      <c r="CM36" s="24">
        <f t="shared" si="36"/>
        <v>4.4247787610619468E-3</v>
      </c>
      <c r="CN36" s="22"/>
      <c r="CO36" s="83">
        <f t="shared" si="18"/>
        <v>8</v>
      </c>
      <c r="CP36" s="24">
        <f t="shared" si="33"/>
        <v>6.1115355233002291E-3</v>
      </c>
      <c r="CQ36" s="22"/>
      <c r="CR36" s="23">
        <f t="shared" si="19"/>
        <v>9</v>
      </c>
      <c r="CS36" s="24">
        <f t="shared" si="34"/>
        <v>7.0367474589523062E-3</v>
      </c>
      <c r="CT36" s="22"/>
      <c r="CU36" s="23">
        <f t="shared" si="20"/>
        <v>8</v>
      </c>
      <c r="CV36" s="24">
        <f t="shared" si="37"/>
        <v>6.8027210884353739E-3</v>
      </c>
      <c r="CW36" s="22"/>
      <c r="CX36" s="23">
        <f t="shared" si="21"/>
        <v>9</v>
      </c>
      <c r="CY36" s="24">
        <f t="shared" si="35"/>
        <v>7.6530612244897957E-3</v>
      </c>
      <c r="CZ36" s="23"/>
      <c r="DA36" s="23">
        <f t="shared" si="22"/>
        <v>9</v>
      </c>
      <c r="DB36" s="24">
        <f t="shared" si="38"/>
        <v>7.8947368421052634E-3</v>
      </c>
      <c r="DC36" s="23"/>
      <c r="DD36" s="23">
        <f t="shared" si="23"/>
        <v>9</v>
      </c>
      <c r="DE36" s="24">
        <f t="shared" si="39"/>
        <v>7.8947368421052634E-3</v>
      </c>
      <c r="DF36" s="23"/>
      <c r="DG36" s="23">
        <f t="shared" si="24"/>
        <v>8</v>
      </c>
      <c r="DH36" s="24">
        <f t="shared" si="40"/>
        <v>7.0175438596491229E-3</v>
      </c>
    </row>
    <row r="37" spans="1:112" s="27" customFormat="1" ht="10.15" customHeight="1">
      <c r="A37" s="22"/>
      <c r="B37" s="22"/>
      <c r="C37" s="22"/>
      <c r="D37" s="22" t="s">
        <v>71</v>
      </c>
      <c r="E37" s="76"/>
      <c r="F37" s="23"/>
      <c r="G37" s="24"/>
      <c r="H37" s="23"/>
      <c r="I37" s="23"/>
      <c r="J37" s="24"/>
      <c r="K37" s="25"/>
      <c r="L37" s="23"/>
      <c r="M37" s="24"/>
      <c r="N37" s="26"/>
      <c r="O37" s="23"/>
      <c r="P37" s="24"/>
      <c r="Q37" s="26"/>
      <c r="R37" s="23"/>
      <c r="S37" s="24"/>
      <c r="T37" s="26"/>
      <c r="U37" s="23"/>
      <c r="V37" s="24"/>
      <c r="W37" s="26"/>
      <c r="X37" s="23"/>
      <c r="Y37" s="24"/>
      <c r="Z37" s="26"/>
      <c r="AA37" s="23"/>
      <c r="AB37" s="24"/>
      <c r="AC37" s="26"/>
      <c r="AD37" s="23"/>
      <c r="AE37" s="24"/>
      <c r="AF37" s="26"/>
      <c r="AG37" s="23"/>
      <c r="AH37" s="24"/>
      <c r="AI37" s="26"/>
      <c r="AJ37" s="23"/>
      <c r="AK37" s="24"/>
      <c r="AL37" s="26"/>
      <c r="AM37" s="23"/>
      <c r="AN37" s="24"/>
      <c r="AO37" s="22"/>
      <c r="AP37" s="23"/>
      <c r="AQ37" s="24"/>
      <c r="AR37" s="22"/>
      <c r="AS37" s="23"/>
      <c r="AT37" s="24"/>
      <c r="AU37" s="22"/>
      <c r="AV37" s="23"/>
      <c r="AW37" s="24"/>
      <c r="AX37" s="22"/>
      <c r="AY37" s="23"/>
      <c r="AZ37" s="24"/>
      <c r="BA37" s="22"/>
      <c r="BB37" s="23"/>
      <c r="BC37" s="24"/>
      <c r="BD37" s="22"/>
      <c r="BE37" s="23"/>
      <c r="BF37" s="24"/>
      <c r="BG37" s="22"/>
      <c r="BH37" s="23"/>
      <c r="BI37" s="24"/>
      <c r="BJ37" s="22"/>
      <c r="BK37" s="23"/>
      <c r="BL37" s="24"/>
      <c r="BM37" s="22"/>
      <c r="BN37" s="23"/>
      <c r="BO37" s="24"/>
      <c r="BP37" s="22"/>
      <c r="BQ37" s="23"/>
      <c r="BR37" s="24"/>
      <c r="BS37" s="22"/>
      <c r="BT37" s="23"/>
      <c r="BU37" s="24"/>
      <c r="BV37" s="22"/>
      <c r="BW37" s="23"/>
      <c r="BX37" s="24"/>
      <c r="BY37" s="22"/>
      <c r="BZ37" s="23"/>
      <c r="CA37" s="24"/>
      <c r="CB37" s="22"/>
      <c r="CC37" s="23"/>
      <c r="CD37" s="24"/>
      <c r="CE37" s="22"/>
      <c r="CF37" s="23" t="s">
        <v>59</v>
      </c>
      <c r="CG37" s="24" t="s">
        <v>61</v>
      </c>
      <c r="CH37" s="22"/>
      <c r="CI37" s="23" t="s">
        <v>59</v>
      </c>
      <c r="CJ37" s="24" t="s">
        <v>62</v>
      </c>
      <c r="CK37" s="22"/>
      <c r="CL37" s="23" t="s">
        <v>59</v>
      </c>
      <c r="CM37" s="24" t="s">
        <v>63</v>
      </c>
      <c r="CN37" s="22"/>
      <c r="CO37" s="83">
        <v>0</v>
      </c>
      <c r="CP37" s="24">
        <v>0</v>
      </c>
      <c r="CQ37" s="22"/>
      <c r="CR37" s="23">
        <f t="shared" si="19"/>
        <v>54</v>
      </c>
      <c r="CS37" s="24">
        <f t="shared" si="34"/>
        <v>4.2220484753713837E-2</v>
      </c>
      <c r="CT37" s="22"/>
      <c r="CU37" s="23">
        <f t="shared" si="20"/>
        <v>47</v>
      </c>
      <c r="CV37" s="24">
        <f t="shared" si="37"/>
        <v>3.9965986394557826E-2</v>
      </c>
      <c r="CW37" s="22"/>
      <c r="CX37" s="23">
        <f t="shared" ref="CX37:CX40" si="41">CX26+CX15</f>
        <v>34</v>
      </c>
      <c r="CY37" s="24">
        <f t="shared" si="35"/>
        <v>2.8911564625850341E-2</v>
      </c>
      <c r="CZ37" s="23"/>
      <c r="DA37" s="23">
        <f t="shared" si="22"/>
        <v>40</v>
      </c>
      <c r="DB37" s="24">
        <f t="shared" si="38"/>
        <v>3.5087719298245612E-2</v>
      </c>
      <c r="DC37" s="23"/>
      <c r="DD37" s="23">
        <f t="shared" si="23"/>
        <v>42</v>
      </c>
      <c r="DE37" s="24">
        <f t="shared" si="39"/>
        <v>3.6842105263157891E-2</v>
      </c>
      <c r="DF37" s="23"/>
      <c r="DG37" s="23">
        <f t="shared" si="24"/>
        <v>46</v>
      </c>
      <c r="DH37" s="24">
        <f t="shared" si="40"/>
        <v>4.0350877192982457E-2</v>
      </c>
    </row>
    <row r="38" spans="1:112" s="27" customFormat="1" ht="10.15" customHeight="1">
      <c r="A38" s="22"/>
      <c r="B38" s="22"/>
      <c r="C38" s="22"/>
      <c r="D38" s="22"/>
      <c r="E38" s="98" t="s">
        <v>68</v>
      </c>
      <c r="F38" s="23">
        <f>SUM(F31:F34)</f>
        <v>118</v>
      </c>
      <c r="G38" s="24">
        <f>(F38/F30)</f>
        <v>8.0326752893124576E-2</v>
      </c>
      <c r="H38" s="23"/>
      <c r="I38" s="23">
        <f>SUM(I31:I34)</f>
        <v>119</v>
      </c>
      <c r="J38" s="24">
        <f>(I38/I30)</f>
        <v>8.2182320441988949E-2</v>
      </c>
      <c r="K38" s="25"/>
      <c r="L38" s="23">
        <f>SUM(L31:L34)</f>
        <v>133</v>
      </c>
      <c r="M38" s="24">
        <f>(L38/L30)</f>
        <v>9.1850828729281769E-2</v>
      </c>
      <c r="N38" s="26"/>
      <c r="O38" s="23">
        <f>SUM(O31:O34)</f>
        <v>144</v>
      </c>
      <c r="P38" s="24">
        <f>(O38/O30)</f>
        <v>9.8833218943033624E-2</v>
      </c>
      <c r="Q38" s="26"/>
      <c r="R38" s="23">
        <f>SUM(R31:R34)</f>
        <v>144</v>
      </c>
      <c r="S38" s="24">
        <f>(R38/R30)</f>
        <v>9.8969072164948449E-2</v>
      </c>
      <c r="T38" s="26"/>
      <c r="U38" s="23">
        <f>SUM(U31:U34)</f>
        <v>140</v>
      </c>
      <c r="V38" s="24">
        <f>(U38/U30)</f>
        <v>9.6219931271477668E-2</v>
      </c>
      <c r="W38" s="26"/>
      <c r="X38" s="23">
        <f>SUM(X31:X34)</f>
        <v>149</v>
      </c>
      <c r="Y38" s="24">
        <f>(X38/X30)</f>
        <v>0.10254645560908465</v>
      </c>
      <c r="Z38" s="26"/>
      <c r="AA38" s="23">
        <f>SUM(AA31:AA34)</f>
        <v>162</v>
      </c>
      <c r="AB38" s="24">
        <f>(AA38/AA30)</f>
        <v>0.11352487736510161</v>
      </c>
      <c r="AC38" s="26"/>
      <c r="AD38" s="23">
        <f>SUM(AD31:AD34)</f>
        <v>172</v>
      </c>
      <c r="AE38" s="24">
        <f>(AD38/AD30)</f>
        <v>0.11952744961779013</v>
      </c>
      <c r="AF38" s="26"/>
      <c r="AG38" s="23">
        <f>SUM(AG31:AG34)</f>
        <v>181</v>
      </c>
      <c r="AH38" s="24">
        <f>(AG38/AG30)</f>
        <v>0.12719606465214336</v>
      </c>
      <c r="AI38" s="26"/>
      <c r="AJ38" s="23">
        <f>SUM(AJ31:AJ34)</f>
        <v>196</v>
      </c>
      <c r="AK38" s="24">
        <f>(AJ38/AJ30)</f>
        <v>0.1375438596491228</v>
      </c>
      <c r="AL38" s="26"/>
      <c r="AM38" s="23">
        <f>SUM(AM31:AM34)</f>
        <v>205</v>
      </c>
      <c r="AN38" s="24">
        <f>(AM38/AM30)</f>
        <v>0.14684813753581663</v>
      </c>
      <c r="AO38" s="22"/>
      <c r="AP38" s="23">
        <f>SUM(AP31:AP34)</f>
        <v>204</v>
      </c>
      <c r="AQ38" s="24">
        <f>(AP38/AP30)</f>
        <v>0.15055350553505534</v>
      </c>
      <c r="AR38" s="22"/>
      <c r="AS38" s="23">
        <f>SUM(AS31:AS34)</f>
        <v>222</v>
      </c>
      <c r="AT38" s="24">
        <f>(AS38/AS30)</f>
        <v>0.16216216216216217</v>
      </c>
      <c r="AU38" s="22"/>
      <c r="AV38" s="23">
        <f>SUM(AV31:AV34)</f>
        <v>226</v>
      </c>
      <c r="AW38" s="24">
        <f>(AV38/AV30)</f>
        <v>0.16878267363704258</v>
      </c>
      <c r="AX38" s="22"/>
      <c r="AY38" s="23">
        <f>SUM(AY31:AY34)</f>
        <v>233</v>
      </c>
      <c r="AZ38" s="24">
        <f>(AY38/AY30)</f>
        <v>0.17157584683357879</v>
      </c>
      <c r="BA38" s="22"/>
      <c r="BB38" s="23">
        <f>SUM(BB31:BB34)</f>
        <v>244</v>
      </c>
      <c r="BC38" s="24">
        <f>(BB38/BB30)</f>
        <v>0.18583396801218582</v>
      </c>
      <c r="BD38" s="22"/>
      <c r="BE38" s="23">
        <f>SUM(BE31:BE34)</f>
        <v>256</v>
      </c>
      <c r="BF38" s="24">
        <f>(BE38/BE30)</f>
        <v>0.19814241486068113</v>
      </c>
      <c r="BG38" s="22"/>
      <c r="BH38" s="23">
        <f>SUM(BH31:BH34)</f>
        <v>268</v>
      </c>
      <c r="BI38" s="24">
        <f>(BH38/BH30)</f>
        <v>0.20395738203957381</v>
      </c>
      <c r="BJ38" s="22"/>
      <c r="BK38" s="23">
        <f>SUM(BK31:BK36)</f>
        <v>275</v>
      </c>
      <c r="BL38" s="24">
        <f>(BK38/BK30)</f>
        <v>0.20430906389301634</v>
      </c>
      <c r="BM38" s="22"/>
      <c r="BN38" s="23">
        <f>SUM(BN31:BN36)</f>
        <v>264</v>
      </c>
      <c r="BO38" s="24">
        <f>(BN38/BN30)</f>
        <v>0.20183486238532111</v>
      </c>
      <c r="BP38" s="22"/>
      <c r="BQ38" s="23">
        <f>SUM(BQ31:BQ36)</f>
        <v>277</v>
      </c>
      <c r="BR38" s="24">
        <f>(BQ38/BQ30)</f>
        <v>0.21423047177107502</v>
      </c>
      <c r="BS38" s="22"/>
      <c r="BT38" s="23">
        <f>SUM(BT31:BT36)</f>
        <v>294</v>
      </c>
      <c r="BU38" s="24">
        <f>(BT38/BT30)</f>
        <v>0.22088655146506386</v>
      </c>
      <c r="BV38" s="22"/>
      <c r="BW38" s="23">
        <f>SUM(BW31:BW36)</f>
        <v>294</v>
      </c>
      <c r="BX38" s="24">
        <f>(BW38/BW30)</f>
        <v>0.22511485451761101</v>
      </c>
      <c r="BY38" s="22"/>
      <c r="BZ38" s="23">
        <f>SUM(BZ31:BZ36)</f>
        <v>321</v>
      </c>
      <c r="CA38" s="24">
        <f>(BZ38/BZ30)</f>
        <v>0.24355083459787558</v>
      </c>
      <c r="CB38" s="22"/>
      <c r="CC38" s="23">
        <f>SUM(CC31:CC36)</f>
        <v>351</v>
      </c>
      <c r="CD38" s="24">
        <f>(CC38/CC30)</f>
        <v>0.25269978401727861</v>
      </c>
      <c r="CE38" s="22"/>
      <c r="CF38" s="23">
        <f>SUM(CF31:CF36)</f>
        <v>353</v>
      </c>
      <c r="CG38" s="24">
        <f>(CF38/CF30)</f>
        <v>0.25710123816460306</v>
      </c>
      <c r="CH38" s="22"/>
      <c r="CI38" s="23">
        <f>SUM(CI31:CI36)</f>
        <v>371</v>
      </c>
      <c r="CJ38" s="24">
        <f>CI38/CI30</f>
        <v>0.27239353891336271</v>
      </c>
      <c r="CK38" s="22"/>
      <c r="CL38" s="23">
        <f>CL27+CL16</f>
        <v>373</v>
      </c>
      <c r="CM38" s="24">
        <f t="shared" si="36"/>
        <v>0.27507374631268439</v>
      </c>
      <c r="CN38" s="22"/>
      <c r="CO38" s="83">
        <f>CO27+CO16</f>
        <v>389</v>
      </c>
      <c r="CP38" s="24">
        <f t="shared" si="33"/>
        <v>0.29717341482047366</v>
      </c>
      <c r="CQ38" s="22"/>
      <c r="CR38" s="23">
        <f>CR27+CR16</f>
        <v>384</v>
      </c>
      <c r="CS38" s="24">
        <f t="shared" si="34"/>
        <v>0.30023455824863177</v>
      </c>
      <c r="CT38" s="22"/>
      <c r="CU38" s="23">
        <f>CU27+CU16</f>
        <v>369</v>
      </c>
      <c r="CV38" s="24">
        <f>CU38/$CX$30</f>
        <v>0.31377551020408162</v>
      </c>
      <c r="CW38" s="22"/>
      <c r="CX38" s="23">
        <f>CX27+CX16</f>
        <v>360</v>
      </c>
      <c r="CY38" s="24">
        <f t="shared" si="35"/>
        <v>0.30612244897959184</v>
      </c>
      <c r="CZ38" s="23"/>
      <c r="DA38" s="23">
        <f>DA27+DA16</f>
        <v>367</v>
      </c>
      <c r="DB38" s="24">
        <f t="shared" si="38"/>
        <v>0.32192982456140351</v>
      </c>
      <c r="DC38" s="23"/>
      <c r="DD38" s="23">
        <f>DD27+DD16</f>
        <v>364</v>
      </c>
      <c r="DE38" s="24">
        <f t="shared" si="39"/>
        <v>0.31929824561403508</v>
      </c>
      <c r="DF38" s="23"/>
      <c r="DG38" s="23">
        <f>DG27+DG16</f>
        <v>370</v>
      </c>
      <c r="DH38" s="24">
        <f t="shared" si="40"/>
        <v>0.32456140350877194</v>
      </c>
    </row>
    <row r="39" spans="1:112" s="27" customFormat="1" ht="10.15" customHeight="1">
      <c r="A39" s="22"/>
      <c r="B39" s="76"/>
      <c r="C39" s="76"/>
      <c r="D39" s="76" t="s">
        <v>38</v>
      </c>
      <c r="E39" s="76"/>
      <c r="F39" s="23">
        <f>F17+F28</f>
        <v>1351</v>
      </c>
      <c r="G39" s="24">
        <f>(F39/F30)</f>
        <v>0.91967324710687548</v>
      </c>
      <c r="H39" s="23"/>
      <c r="I39" s="23">
        <f>I17+I28</f>
        <v>1329</v>
      </c>
      <c r="J39" s="24">
        <f>(I39/I30)</f>
        <v>0.91781767955801108</v>
      </c>
      <c r="K39" s="25"/>
      <c r="L39" s="23">
        <f>L17+L28</f>
        <v>1315</v>
      </c>
      <c r="M39" s="24">
        <f>(L39/L30)</f>
        <v>0.90814917127071826</v>
      </c>
      <c r="N39" s="26"/>
      <c r="O39" s="23">
        <f>O17+O28</f>
        <v>1313</v>
      </c>
      <c r="P39" s="24">
        <f>(O39/O30)</f>
        <v>0.90116678105696635</v>
      </c>
      <c r="Q39" s="26"/>
      <c r="R39" s="23">
        <f>R17+R28</f>
        <v>1311</v>
      </c>
      <c r="S39" s="24">
        <f>(R39/R30)</f>
        <v>0.90103092783505156</v>
      </c>
      <c r="T39" s="26"/>
      <c r="U39" s="23">
        <f>U17+U28</f>
        <v>1315</v>
      </c>
      <c r="V39" s="24">
        <f>(U39/U30)</f>
        <v>0.90378006872852235</v>
      </c>
      <c r="W39" s="26"/>
      <c r="X39" s="23">
        <f>X17+X28</f>
        <v>1304</v>
      </c>
      <c r="Y39" s="24">
        <f>(X39/X30)</f>
        <v>0.89745354439091529</v>
      </c>
      <c r="Z39" s="26"/>
      <c r="AA39" s="23">
        <f>AA17+AA28</f>
        <v>1265</v>
      </c>
      <c r="AB39" s="24">
        <f>(AA39/AA30)</f>
        <v>0.88647512263489836</v>
      </c>
      <c r="AC39" s="26"/>
      <c r="AD39" s="23">
        <f>AD17+AD28</f>
        <v>1267</v>
      </c>
      <c r="AE39" s="24">
        <f>(AD39/AD30)</f>
        <v>0.88047255038220984</v>
      </c>
      <c r="AF39" s="26"/>
      <c r="AG39" s="23">
        <f>AG17+AG28</f>
        <v>1242</v>
      </c>
      <c r="AH39" s="24">
        <f>(AG39/AG30)</f>
        <v>0.87280393534785661</v>
      </c>
      <c r="AI39" s="26"/>
      <c r="AJ39" s="23">
        <f>AJ17+AJ28</f>
        <v>1229</v>
      </c>
      <c r="AK39" s="24">
        <f>(AJ39/AJ30)</f>
        <v>0.86245614035087714</v>
      </c>
      <c r="AL39" s="26"/>
      <c r="AM39" s="23">
        <f>AM17+AM28</f>
        <v>1191</v>
      </c>
      <c r="AN39" s="24">
        <f>(AM39/AM30)</f>
        <v>0.8531518624641834</v>
      </c>
      <c r="AO39" s="22"/>
      <c r="AP39" s="23">
        <f>AP17+AP28</f>
        <v>1151</v>
      </c>
      <c r="AQ39" s="24">
        <f>(AP39/AP30)</f>
        <v>0.84944649446494469</v>
      </c>
      <c r="AR39" s="22"/>
      <c r="AS39" s="23">
        <f>AS17+AS28</f>
        <v>1147</v>
      </c>
      <c r="AT39" s="24">
        <f>(AS39/AS30)</f>
        <v>0.83783783783783783</v>
      </c>
      <c r="AU39" s="22"/>
      <c r="AV39" s="23">
        <f>AV17+AV28</f>
        <v>1113</v>
      </c>
      <c r="AW39" s="24">
        <f>(AV39/AV30)</f>
        <v>0.83121732636295742</v>
      </c>
      <c r="AX39" s="22"/>
      <c r="AY39" s="23">
        <f>AY17+AY28</f>
        <v>1125</v>
      </c>
      <c r="AZ39" s="24">
        <f>(AY39/AY30)</f>
        <v>0.82842415316642126</v>
      </c>
      <c r="BA39" s="22"/>
      <c r="BB39" s="23">
        <f>BB17+BB28</f>
        <v>1069</v>
      </c>
      <c r="BC39" s="24">
        <f>(BB39/BB30)</f>
        <v>0.81416603198781412</v>
      </c>
      <c r="BD39" s="22"/>
      <c r="BE39" s="23">
        <f>BE17+BE28</f>
        <v>1036</v>
      </c>
      <c r="BF39" s="24">
        <f>(BE39/BE30)</f>
        <v>0.80185758513931893</v>
      </c>
      <c r="BG39" s="22"/>
      <c r="BH39" s="23">
        <f>BH17+BH28</f>
        <v>1046</v>
      </c>
      <c r="BI39" s="24">
        <f>(BH39/BH30)</f>
        <v>0.79604261796042619</v>
      </c>
      <c r="BJ39" s="22"/>
      <c r="BK39" s="23">
        <f>BK17+BK28</f>
        <v>1071</v>
      </c>
      <c r="BL39" s="24">
        <f>(BK39/BK30)</f>
        <v>0.7956909361069836</v>
      </c>
      <c r="BM39" s="22"/>
      <c r="BN39" s="23">
        <f>BN17+BN28</f>
        <v>1044</v>
      </c>
      <c r="BO39" s="24">
        <f>(BN39/BN30)</f>
        <v>0.79816513761467889</v>
      </c>
      <c r="BP39" s="22"/>
      <c r="BQ39" s="23">
        <f>BQ17+BQ28</f>
        <v>1016</v>
      </c>
      <c r="BR39" s="24">
        <f>(BQ39/BQ30)</f>
        <v>0.78576952822892498</v>
      </c>
      <c r="BS39" s="22"/>
      <c r="BT39" s="23">
        <f>BT17+BT28</f>
        <v>1037</v>
      </c>
      <c r="BU39" s="24">
        <f>(BT39/BT30)</f>
        <v>0.77911344853493614</v>
      </c>
      <c r="BV39" s="22"/>
      <c r="BW39" s="23">
        <f>BW17+BW28</f>
        <v>1012</v>
      </c>
      <c r="BX39" s="24">
        <f>(BW39/BW30)</f>
        <v>0.77488514548238896</v>
      </c>
      <c r="BY39" s="22"/>
      <c r="BZ39" s="23">
        <f>BZ17+BZ28</f>
        <v>997</v>
      </c>
      <c r="CA39" s="24">
        <f>(BZ39/BZ30)</f>
        <v>0.75644916540212448</v>
      </c>
      <c r="CB39" s="22"/>
      <c r="CC39" s="23">
        <f>CC17+CC28</f>
        <v>1038</v>
      </c>
      <c r="CD39" s="24">
        <f>(CC39/CC30)</f>
        <v>0.74730021598272134</v>
      </c>
      <c r="CE39" s="22"/>
      <c r="CF39" s="23">
        <f>CF17+CF28</f>
        <v>1020</v>
      </c>
      <c r="CG39" s="24">
        <f>(CF39/CF30)</f>
        <v>0.74289876183539694</v>
      </c>
      <c r="CH39" s="22"/>
      <c r="CI39" s="23">
        <f>CI28+CI17</f>
        <v>991</v>
      </c>
      <c r="CJ39" s="24">
        <f>CI39/CI30</f>
        <v>0.72760646108663729</v>
      </c>
      <c r="CK39" s="22"/>
      <c r="CL39" s="23">
        <f>CL28+CL17</f>
        <v>982</v>
      </c>
      <c r="CM39" s="24">
        <f t="shared" si="36"/>
        <v>0.72418879056047203</v>
      </c>
      <c r="CN39" s="22"/>
      <c r="CO39" s="83">
        <f>CO28+CO17</f>
        <v>915</v>
      </c>
      <c r="CP39" s="24">
        <f t="shared" si="33"/>
        <v>0.69900687547746376</v>
      </c>
      <c r="CQ39" s="22"/>
      <c r="CR39" s="23">
        <f t="shared" si="19"/>
        <v>895</v>
      </c>
      <c r="CS39" s="24">
        <f t="shared" si="34"/>
        <v>0.69976544175136823</v>
      </c>
      <c r="CT39" s="22"/>
      <c r="CU39" s="23">
        <f t="shared" si="20"/>
        <v>850</v>
      </c>
      <c r="CV39" s="24">
        <f t="shared" ref="CV39:CV40" si="42">CU39/$CX$30</f>
        <v>0.72278911564625847</v>
      </c>
      <c r="CW39" s="22"/>
      <c r="CX39" s="23">
        <f t="shared" si="41"/>
        <v>816</v>
      </c>
      <c r="CY39" s="24">
        <f t="shared" si="35"/>
        <v>0.69387755102040816</v>
      </c>
      <c r="CZ39" s="23"/>
      <c r="DA39" s="23">
        <f t="shared" si="22"/>
        <v>773</v>
      </c>
      <c r="DB39" s="24">
        <f t="shared" si="38"/>
        <v>0.67807017543859649</v>
      </c>
      <c r="DC39" s="23"/>
      <c r="DD39" s="23">
        <f t="shared" si="23"/>
        <v>755</v>
      </c>
      <c r="DE39" s="24">
        <f t="shared" si="39"/>
        <v>0.66228070175438591</v>
      </c>
      <c r="DF39" s="23"/>
      <c r="DG39" s="23">
        <f t="shared" si="24"/>
        <v>743</v>
      </c>
      <c r="DH39" s="24">
        <f t="shared" si="40"/>
        <v>0.65175438596491231</v>
      </c>
    </row>
    <row r="40" spans="1:112" s="27" customFormat="1" ht="10.15" customHeight="1">
      <c r="A40" s="22"/>
      <c r="B40" s="76" t="s">
        <v>64</v>
      </c>
      <c r="C40" s="76"/>
      <c r="D40" s="76"/>
      <c r="E40" s="76"/>
      <c r="F40" s="23"/>
      <c r="G40" s="24"/>
      <c r="H40" s="23"/>
      <c r="I40" s="23"/>
      <c r="J40" s="24"/>
      <c r="K40" s="25"/>
      <c r="L40" s="23"/>
      <c r="M40" s="24"/>
      <c r="N40" s="26"/>
      <c r="O40" s="23"/>
      <c r="P40" s="24"/>
      <c r="Q40" s="26"/>
      <c r="R40" s="23"/>
      <c r="S40" s="24"/>
      <c r="T40" s="26"/>
      <c r="U40" s="23"/>
      <c r="V40" s="24"/>
      <c r="W40" s="26"/>
      <c r="X40" s="23"/>
      <c r="Y40" s="24"/>
      <c r="Z40" s="26"/>
      <c r="AA40" s="23"/>
      <c r="AB40" s="24"/>
      <c r="AC40" s="26"/>
      <c r="AD40" s="23"/>
      <c r="AE40" s="24"/>
      <c r="AF40" s="26"/>
      <c r="AG40" s="23"/>
      <c r="AH40" s="24"/>
      <c r="AI40" s="26"/>
      <c r="AJ40" s="23"/>
      <c r="AK40" s="24"/>
      <c r="AL40" s="26"/>
      <c r="AM40" s="23"/>
      <c r="AN40" s="24"/>
      <c r="AO40" s="22"/>
      <c r="AP40" s="23"/>
      <c r="AQ40" s="24"/>
      <c r="AR40" s="22"/>
      <c r="AS40" s="23"/>
      <c r="AT40" s="24"/>
      <c r="AU40" s="22"/>
      <c r="AV40" s="23"/>
      <c r="AW40" s="24"/>
      <c r="AX40" s="22"/>
      <c r="AY40" s="23"/>
      <c r="AZ40" s="24"/>
      <c r="BA40" s="22"/>
      <c r="BB40" s="23"/>
      <c r="BC40" s="24"/>
      <c r="BD40" s="22"/>
      <c r="BE40" s="23"/>
      <c r="BF40" s="24"/>
      <c r="BG40" s="22"/>
      <c r="BH40" s="23"/>
      <c r="BI40" s="24"/>
      <c r="BJ40" s="22"/>
      <c r="BK40" s="23"/>
      <c r="BL40" s="24"/>
      <c r="BM40" s="22"/>
      <c r="BN40" s="23"/>
      <c r="BO40" s="24"/>
      <c r="BP40" s="22"/>
      <c r="BQ40" s="23"/>
      <c r="BR40" s="24"/>
      <c r="BS40" s="22"/>
      <c r="BT40" s="23"/>
      <c r="BU40" s="24"/>
      <c r="BV40" s="22"/>
      <c r="BW40" s="23"/>
      <c r="BX40" s="24"/>
      <c r="BY40" s="22"/>
      <c r="BZ40" s="23"/>
      <c r="CA40" s="24"/>
      <c r="CB40" s="22"/>
      <c r="CC40" s="23" t="s">
        <v>59</v>
      </c>
      <c r="CD40" s="24" t="s">
        <v>60</v>
      </c>
      <c r="CE40" s="22"/>
      <c r="CF40" s="23" t="s">
        <v>59</v>
      </c>
      <c r="CG40" s="24" t="s">
        <v>61</v>
      </c>
      <c r="CH40" s="22"/>
      <c r="CI40" s="23" t="s">
        <v>59</v>
      </c>
      <c r="CJ40" s="24" t="s">
        <v>62</v>
      </c>
      <c r="CK40" s="22"/>
      <c r="CL40" s="23" t="s">
        <v>59</v>
      </c>
      <c r="CM40" s="24" t="s">
        <v>63</v>
      </c>
      <c r="CN40" s="22"/>
      <c r="CO40" s="83">
        <f t="shared" ref="CO40" si="43">CO29+CO18</f>
        <v>5</v>
      </c>
      <c r="CP40" s="24">
        <f>CO40/1306</f>
        <v>3.8284839203675345E-3</v>
      </c>
      <c r="CQ40" s="22"/>
      <c r="CR40" s="23">
        <f t="shared" si="19"/>
        <v>0</v>
      </c>
      <c r="CS40" s="24">
        <f t="shared" si="34"/>
        <v>0</v>
      </c>
      <c r="CT40" s="22"/>
      <c r="CU40" s="23">
        <f t="shared" si="20"/>
        <v>0</v>
      </c>
      <c r="CV40" s="24">
        <f t="shared" si="42"/>
        <v>0</v>
      </c>
      <c r="CW40" s="22"/>
      <c r="CX40" s="23">
        <f t="shared" si="41"/>
        <v>0</v>
      </c>
      <c r="CY40" s="24">
        <f t="shared" si="35"/>
        <v>0</v>
      </c>
      <c r="CZ40" s="23"/>
      <c r="DA40" s="23">
        <f t="shared" si="22"/>
        <v>0</v>
      </c>
      <c r="DB40" s="24">
        <f t="shared" si="38"/>
        <v>0</v>
      </c>
      <c r="DC40" s="23"/>
      <c r="DD40" s="23">
        <f t="shared" si="23"/>
        <v>0</v>
      </c>
      <c r="DE40" s="24">
        <f t="shared" si="39"/>
        <v>0</v>
      </c>
      <c r="DF40" s="23"/>
      <c r="DG40" s="23">
        <f t="shared" si="24"/>
        <v>0</v>
      </c>
      <c r="DH40" s="24">
        <f t="shared" si="40"/>
        <v>0</v>
      </c>
    </row>
    <row r="41" spans="1:112" s="44" customFormat="1" ht="15" customHeight="1">
      <c r="A41" s="115" t="s">
        <v>93</v>
      </c>
      <c r="B41" s="115"/>
      <c r="C41" s="115"/>
      <c r="D41" s="115"/>
      <c r="E41" s="115"/>
      <c r="F41" s="56">
        <f>SUM(F49:F50)</f>
        <v>434</v>
      </c>
      <c r="G41" s="57"/>
      <c r="H41" s="56"/>
      <c r="I41" s="56">
        <f>SUM(I49:I50)</f>
        <v>337</v>
      </c>
      <c r="J41" s="57"/>
      <c r="K41" s="58"/>
      <c r="L41" s="56">
        <f>SUM(L49:L50)</f>
        <v>311</v>
      </c>
      <c r="M41" s="57"/>
      <c r="N41" s="59"/>
      <c r="O41" s="56">
        <f>SUM(O49:O50)</f>
        <v>305</v>
      </c>
      <c r="P41" s="57"/>
      <c r="Q41" s="59"/>
      <c r="R41" s="56">
        <f>SUM(R49:R50)</f>
        <v>304</v>
      </c>
      <c r="S41" s="57"/>
      <c r="T41" s="59"/>
      <c r="U41" s="56">
        <f>SUM(U49:U50)</f>
        <v>326</v>
      </c>
      <c r="V41" s="57"/>
      <c r="W41" s="59"/>
      <c r="X41" s="56">
        <f>SUM(X49:X50)</f>
        <v>333</v>
      </c>
      <c r="Y41" s="57"/>
      <c r="Z41" s="59"/>
      <c r="AA41" s="56">
        <f>SUM(AA49:AA50)</f>
        <v>322</v>
      </c>
      <c r="AB41" s="57"/>
      <c r="AC41" s="59"/>
      <c r="AD41" s="56">
        <f>SUM(AD49:AD50)</f>
        <v>358</v>
      </c>
      <c r="AE41" s="57"/>
      <c r="AF41" s="59"/>
      <c r="AG41" s="56">
        <f>SUM(AG49:AG50)</f>
        <v>358</v>
      </c>
      <c r="AH41" s="57"/>
      <c r="AI41" s="59"/>
      <c r="AJ41" s="56">
        <f>SUM(AJ49:AJ50)</f>
        <v>354</v>
      </c>
      <c r="AK41" s="57"/>
      <c r="AL41" s="59"/>
      <c r="AM41" s="56">
        <f>SUM(AM49:AM50)</f>
        <v>361</v>
      </c>
      <c r="AN41" s="57"/>
      <c r="AP41" s="56">
        <f>SUM(AP49:AP50)</f>
        <v>365</v>
      </c>
      <c r="AQ41" s="57"/>
      <c r="AS41" s="56">
        <f>SUM(AS49:AS50)</f>
        <v>382</v>
      </c>
      <c r="AT41" s="57"/>
      <c r="AV41" s="56">
        <f>SUM(AV49:AV50)</f>
        <v>368</v>
      </c>
      <c r="AW41" s="57"/>
      <c r="AY41" s="56">
        <f>SUM(AY49:AY50)</f>
        <v>376</v>
      </c>
      <c r="AZ41" s="57"/>
      <c r="BB41" s="56">
        <f>SUM(BB49:BB50)</f>
        <v>396</v>
      </c>
      <c r="BC41" s="57"/>
      <c r="BE41" s="56">
        <f>SUM(BE49:BE50)</f>
        <v>384</v>
      </c>
      <c r="BF41" s="57"/>
      <c r="BH41" s="56">
        <f>SUM(BH49:BH50)</f>
        <v>409</v>
      </c>
      <c r="BI41" s="57"/>
      <c r="BK41" s="56">
        <f>SUM(BK49:BK50)</f>
        <v>400</v>
      </c>
      <c r="BL41" s="57"/>
      <c r="BN41" s="56">
        <f>SUM(BN49:BN50)</f>
        <v>432</v>
      </c>
      <c r="BO41" s="57"/>
      <c r="BQ41" s="56">
        <f>SUM(BQ49:BQ50)</f>
        <v>473</v>
      </c>
      <c r="BR41" s="57"/>
      <c r="BT41" s="56">
        <f>SUM(BT49:BT50)</f>
        <v>514</v>
      </c>
      <c r="BU41" s="57"/>
      <c r="BW41" s="63">
        <f>SUM(BW49:BW50)</f>
        <v>563</v>
      </c>
      <c r="BX41" s="64"/>
      <c r="BY41" s="65"/>
      <c r="BZ41" s="63">
        <f>SUM(BZ49:BZ50)</f>
        <v>574</v>
      </c>
      <c r="CA41" s="64"/>
      <c r="CB41" s="65"/>
      <c r="CC41" s="63">
        <f>SUM(CC49:CC50)</f>
        <v>584</v>
      </c>
      <c r="CD41" s="64"/>
      <c r="CE41" s="65"/>
      <c r="CF41" s="63">
        <f>SUM(CF49:CF50)</f>
        <v>596</v>
      </c>
      <c r="CG41" s="64"/>
      <c r="CH41" s="65"/>
      <c r="CI41" s="63">
        <f>SUM(CI50,CI42:CI47)</f>
        <v>604</v>
      </c>
      <c r="CJ41" s="57"/>
      <c r="CK41" s="65"/>
      <c r="CL41" s="63">
        <f>CL42+CL43+CL44+CL45+CL46+CL47+CL50</f>
        <v>578</v>
      </c>
      <c r="CM41" s="57"/>
      <c r="CN41" s="65"/>
      <c r="CO41" s="85">
        <f>CO49+CO50+CO51</f>
        <v>601</v>
      </c>
      <c r="CP41" s="57"/>
      <c r="CQ41" s="65"/>
      <c r="CR41" s="63">
        <f>CR49+CR50+CR51</f>
        <v>579</v>
      </c>
      <c r="CS41" s="57"/>
      <c r="CT41" s="65"/>
      <c r="CU41" s="63">
        <f>CU49+CU50+CU51</f>
        <v>580</v>
      </c>
      <c r="CV41" s="57"/>
      <c r="CW41" s="65"/>
      <c r="CX41" s="63">
        <f>CX49+CX50+CX51</f>
        <v>573</v>
      </c>
      <c r="CY41" s="57"/>
      <c r="CZ41" s="63"/>
      <c r="DA41" s="63">
        <f>DA49+DA50+DA51</f>
        <v>606</v>
      </c>
      <c r="DB41" s="57"/>
      <c r="DC41" s="63"/>
      <c r="DD41" s="63">
        <f>DD49+DD50+DD51</f>
        <v>627</v>
      </c>
      <c r="DE41" s="57"/>
      <c r="DF41" s="63"/>
      <c r="DG41" s="63">
        <f>DG49+DG50+DG51</f>
        <v>633</v>
      </c>
      <c r="DH41" s="57"/>
    </row>
    <row r="42" spans="1:112" s="27" customFormat="1" ht="10.15" customHeight="1">
      <c r="B42" s="118" t="s">
        <v>55</v>
      </c>
      <c r="C42" s="118"/>
      <c r="D42" s="118"/>
      <c r="E42" s="118"/>
      <c r="F42" s="34">
        <v>8</v>
      </c>
      <c r="G42" s="35">
        <f>(F42/F41)</f>
        <v>1.8433179723502304E-2</v>
      </c>
      <c r="H42" s="34"/>
      <c r="I42" s="34">
        <v>5</v>
      </c>
      <c r="J42" s="35">
        <f>(I42/I41)</f>
        <v>1.483679525222552E-2</v>
      </c>
      <c r="K42" s="36"/>
      <c r="L42" s="34">
        <v>4</v>
      </c>
      <c r="M42" s="35">
        <f>(L42/L41)</f>
        <v>1.2861736334405145E-2</v>
      </c>
      <c r="N42" s="37"/>
      <c r="O42" s="34">
        <v>5</v>
      </c>
      <c r="P42" s="35">
        <f>(O42/O41)</f>
        <v>1.6393442622950821E-2</v>
      </c>
      <c r="Q42" s="37"/>
      <c r="R42" s="34">
        <v>6</v>
      </c>
      <c r="S42" s="35">
        <f>(R42/R41)</f>
        <v>1.9736842105263157E-2</v>
      </c>
      <c r="T42" s="37"/>
      <c r="U42" s="34">
        <f>3+1</f>
        <v>4</v>
      </c>
      <c r="V42" s="35">
        <f>(U42/U41)</f>
        <v>1.2269938650306749E-2</v>
      </c>
      <c r="W42" s="37"/>
      <c r="X42" s="34">
        <f>3+5+1</f>
        <v>9</v>
      </c>
      <c r="Y42" s="35">
        <f>(X42/X41)</f>
        <v>2.7027027027027029E-2</v>
      </c>
      <c r="Z42" s="37"/>
      <c r="AA42" s="34">
        <v>9</v>
      </c>
      <c r="AB42" s="35">
        <f>(AA42/AA41)</f>
        <v>2.7950310559006212E-2</v>
      </c>
      <c r="AC42" s="37"/>
      <c r="AD42" s="34">
        <f>4+5</f>
        <v>9</v>
      </c>
      <c r="AE42" s="35">
        <f>(AD42/AD41)</f>
        <v>2.5139664804469275E-2</v>
      </c>
      <c r="AF42" s="37"/>
      <c r="AG42" s="34">
        <f>4+4+1</f>
        <v>9</v>
      </c>
      <c r="AH42" s="35">
        <f>(AG42/AG41)</f>
        <v>2.5139664804469275E-2</v>
      </c>
      <c r="AI42" s="37"/>
      <c r="AJ42" s="34">
        <f>4+6</f>
        <v>10</v>
      </c>
      <c r="AK42" s="35">
        <f>(AJ42/AJ41)</f>
        <v>2.8248587570621469E-2</v>
      </c>
      <c r="AL42" s="37"/>
      <c r="AM42" s="34">
        <f>7+3</f>
        <v>10</v>
      </c>
      <c r="AN42" s="35">
        <f>(AM42/AM41)</f>
        <v>2.7700831024930747E-2</v>
      </c>
      <c r="AP42" s="34">
        <f>5+7</f>
        <v>12</v>
      </c>
      <c r="AQ42" s="35">
        <f>(AP42/AP41)</f>
        <v>3.287671232876712E-2</v>
      </c>
      <c r="AS42" s="34">
        <f>5+6</f>
        <v>11</v>
      </c>
      <c r="AT42" s="35">
        <f>(AS42/AS41)</f>
        <v>2.8795811518324606E-2</v>
      </c>
      <c r="AV42" s="34">
        <f>4+5+1</f>
        <v>10</v>
      </c>
      <c r="AW42" s="35">
        <f>(AV42/AV41)</f>
        <v>2.717391304347826E-2</v>
      </c>
      <c r="AY42" s="34">
        <f>5+4+1</f>
        <v>10</v>
      </c>
      <c r="AZ42" s="35">
        <f>(AY42/AY41)</f>
        <v>2.6595744680851064E-2</v>
      </c>
      <c r="BB42" s="34">
        <f>5+0+4+0+1+0</f>
        <v>10</v>
      </c>
      <c r="BC42" s="35">
        <f>(BB42/BB41)</f>
        <v>2.5252525252525252E-2</v>
      </c>
      <c r="BE42" s="34">
        <v>12</v>
      </c>
      <c r="BF42" s="35">
        <f>(BE42/BE41)</f>
        <v>3.125E-2</v>
      </c>
      <c r="BH42" s="34">
        <v>11</v>
      </c>
      <c r="BI42" s="35">
        <f>(BH42/BH41)</f>
        <v>2.6894865525672371E-2</v>
      </c>
      <c r="BK42" s="34">
        <v>9</v>
      </c>
      <c r="BL42" s="35">
        <f>(BK42/BK41)</f>
        <v>2.2499999999999999E-2</v>
      </c>
      <c r="BN42" s="34">
        <v>10</v>
      </c>
      <c r="BO42" s="35">
        <f>(BN42/BN41)</f>
        <v>2.3148148148148147E-2</v>
      </c>
      <c r="BQ42" s="34">
        <v>12</v>
      </c>
      <c r="BR42" s="35">
        <f>(BQ42/BQ41)</f>
        <v>2.5369978858350951E-2</v>
      </c>
      <c r="BT42" s="34">
        <v>13</v>
      </c>
      <c r="BU42" s="35">
        <f>(BT42/BT41)</f>
        <v>2.5291828793774319E-2</v>
      </c>
      <c r="BW42" s="34">
        <v>14</v>
      </c>
      <c r="BX42" s="35">
        <f>(BW42/BW41)</f>
        <v>2.4866785079928951E-2</v>
      </c>
      <c r="BZ42" s="34">
        <v>14</v>
      </c>
      <c r="CA42" s="35">
        <f>(BZ42/BZ41)</f>
        <v>2.4390243902439025E-2</v>
      </c>
      <c r="CC42" s="34">
        <v>14</v>
      </c>
      <c r="CD42" s="35">
        <f>(CC42/CC41)</f>
        <v>2.3972602739726026E-2</v>
      </c>
      <c r="CF42" s="34">
        <v>16</v>
      </c>
      <c r="CG42" s="35">
        <f>(CF42/CF41)</f>
        <v>2.6845637583892617E-2</v>
      </c>
      <c r="CI42" s="34">
        <v>19</v>
      </c>
      <c r="CJ42" s="35">
        <f>CI42/CI41</f>
        <v>3.1456953642384107E-2</v>
      </c>
      <c r="CL42" s="34">
        <v>15</v>
      </c>
      <c r="CM42" s="35">
        <f>CL42/576</f>
        <v>2.6041666666666668E-2</v>
      </c>
      <c r="CO42" s="86">
        <v>15</v>
      </c>
      <c r="CP42" s="35">
        <f t="shared" ref="CP42:CP51" si="44">CO42/601</f>
        <v>2.4958402662229616E-2</v>
      </c>
      <c r="CR42" s="34">
        <v>15</v>
      </c>
      <c r="CS42" s="35">
        <f t="shared" ref="CS42:CS51" si="45">CR42/$CR$41</f>
        <v>2.5906735751295335E-2</v>
      </c>
      <c r="CU42" s="34">
        <v>15</v>
      </c>
      <c r="CV42" s="35">
        <f>CU42/$CX$41</f>
        <v>2.6178010471204188E-2</v>
      </c>
      <c r="CX42" s="34">
        <v>15</v>
      </c>
      <c r="CY42" s="35">
        <f t="shared" ref="CY42:CY51" si="46">CX42/$CX$41</f>
        <v>2.6178010471204188E-2</v>
      </c>
      <c r="CZ42" s="34"/>
      <c r="DA42" s="34">
        <v>15</v>
      </c>
      <c r="DB42" s="35">
        <f>DA42/$DA$41</f>
        <v>2.4752475247524754E-2</v>
      </c>
      <c r="DC42" s="34"/>
      <c r="DD42" s="34">
        <v>17</v>
      </c>
      <c r="DE42" s="35">
        <f>DD42/$DA$41</f>
        <v>2.8052805280528052E-2</v>
      </c>
      <c r="DF42" s="34"/>
      <c r="DG42" s="34">
        <v>20</v>
      </c>
      <c r="DH42" s="35">
        <f>DG42/$DA$41</f>
        <v>3.3003300330033E-2</v>
      </c>
    </row>
    <row r="43" spans="1:112" s="27" customFormat="1" ht="10.15" customHeight="1">
      <c r="B43" s="118" t="s">
        <v>9</v>
      </c>
      <c r="C43" s="118"/>
      <c r="D43" s="118"/>
      <c r="E43" s="118"/>
      <c r="F43" s="34">
        <v>1</v>
      </c>
      <c r="G43" s="35">
        <f>(F43/F41)</f>
        <v>2.304147465437788E-3</v>
      </c>
      <c r="H43" s="34"/>
      <c r="I43" s="34">
        <v>0</v>
      </c>
      <c r="J43" s="35">
        <f>(I43/I41)</f>
        <v>0</v>
      </c>
      <c r="K43" s="36"/>
      <c r="L43" s="34">
        <v>0</v>
      </c>
      <c r="M43" s="35">
        <f>(L43/L41)</f>
        <v>0</v>
      </c>
      <c r="N43" s="37"/>
      <c r="O43" s="34">
        <v>0</v>
      </c>
      <c r="P43" s="35">
        <f>(O43/O41)</f>
        <v>0</v>
      </c>
      <c r="Q43" s="37"/>
      <c r="R43" s="34">
        <v>0</v>
      </c>
      <c r="S43" s="35">
        <f>(R43/R41)</f>
        <v>0</v>
      </c>
      <c r="T43" s="37"/>
      <c r="U43" s="34">
        <v>0</v>
      </c>
      <c r="V43" s="35">
        <f>(U43/U41)</f>
        <v>0</v>
      </c>
      <c r="W43" s="37"/>
      <c r="X43" s="34">
        <f>0+1+1</f>
        <v>2</v>
      </c>
      <c r="Y43" s="35">
        <f>(X43/X41)</f>
        <v>6.006006006006006E-3</v>
      </c>
      <c r="Z43" s="37"/>
      <c r="AA43" s="34">
        <v>1</v>
      </c>
      <c r="AB43" s="35">
        <f>(AA43/AA41)</f>
        <v>3.105590062111801E-3</v>
      </c>
      <c r="AC43" s="37"/>
      <c r="AD43" s="34">
        <v>1</v>
      </c>
      <c r="AE43" s="35">
        <f>(AD43/AD41)</f>
        <v>2.7932960893854749E-3</v>
      </c>
      <c r="AF43" s="37"/>
      <c r="AG43" s="34">
        <f>1</f>
        <v>1</v>
      </c>
      <c r="AH43" s="35">
        <f>(AG43/AG41)</f>
        <v>2.7932960893854749E-3</v>
      </c>
      <c r="AI43" s="37"/>
      <c r="AJ43" s="34">
        <f>1</f>
        <v>1</v>
      </c>
      <c r="AK43" s="35">
        <f>(AJ43/AJ41)</f>
        <v>2.8248587570621469E-3</v>
      </c>
      <c r="AL43" s="37"/>
      <c r="AM43" s="34">
        <v>1</v>
      </c>
      <c r="AN43" s="35">
        <f>(AM43/AM41)</f>
        <v>2.7700831024930748E-3</v>
      </c>
      <c r="AP43" s="34">
        <f>2</f>
        <v>2</v>
      </c>
      <c r="AQ43" s="35">
        <f>(AP43/AP41)</f>
        <v>5.4794520547945206E-3</v>
      </c>
      <c r="AS43" s="34">
        <f>4</f>
        <v>4</v>
      </c>
      <c r="AT43" s="35">
        <f>(AS43/AS41)</f>
        <v>1.0471204188481676E-2</v>
      </c>
      <c r="AV43" s="34">
        <f>1+1</f>
        <v>2</v>
      </c>
      <c r="AW43" s="35">
        <f>(AV43/AV41)</f>
        <v>5.434782608695652E-3</v>
      </c>
      <c r="AY43" s="34">
        <v>2</v>
      </c>
      <c r="AZ43" s="35">
        <f>(AY43/AY41)</f>
        <v>5.3191489361702126E-3</v>
      </c>
      <c r="BB43" s="34">
        <f>3</f>
        <v>3</v>
      </c>
      <c r="BC43" s="35">
        <f>(BB43/BB41)</f>
        <v>7.575757575757576E-3</v>
      </c>
      <c r="BE43" s="34">
        <v>2</v>
      </c>
      <c r="BF43" s="35">
        <f>(BE43/BE41)</f>
        <v>5.208333333333333E-3</v>
      </c>
      <c r="BH43" s="34">
        <v>1</v>
      </c>
      <c r="BI43" s="35">
        <f>(BH43/BH41)</f>
        <v>2.4449877750611247E-3</v>
      </c>
      <c r="BK43" s="34">
        <v>1</v>
      </c>
      <c r="BL43" s="35">
        <f>(BK43/BK41)</f>
        <v>2.5000000000000001E-3</v>
      </c>
      <c r="BN43" s="34">
        <v>1</v>
      </c>
      <c r="BO43" s="35">
        <f>(BN43/BN41)</f>
        <v>2.3148148148148147E-3</v>
      </c>
      <c r="BQ43" s="34">
        <v>1</v>
      </c>
      <c r="BR43" s="35">
        <f>(BQ43/BQ41)</f>
        <v>2.1141649048625794E-3</v>
      </c>
      <c r="BT43" s="34">
        <v>2</v>
      </c>
      <c r="BU43" s="35">
        <f>(BT43/BT41)</f>
        <v>3.8910505836575876E-3</v>
      </c>
      <c r="BW43" s="34">
        <v>1</v>
      </c>
      <c r="BX43" s="35">
        <f>(BW43/BW41)</f>
        <v>1.7761989342806395E-3</v>
      </c>
      <c r="BZ43" s="34">
        <v>2</v>
      </c>
      <c r="CA43" s="35">
        <f>(BZ43/BZ41)</f>
        <v>3.4843205574912892E-3</v>
      </c>
      <c r="CC43" s="34">
        <v>1</v>
      </c>
      <c r="CD43" s="35">
        <f>(CC43/CC41)</f>
        <v>1.7123287671232876E-3</v>
      </c>
      <c r="CF43" s="34">
        <v>1</v>
      </c>
      <c r="CG43" s="35">
        <f>(CF43/CF41)</f>
        <v>1.6778523489932886E-3</v>
      </c>
      <c r="CI43" s="34">
        <v>1</v>
      </c>
      <c r="CJ43" s="35">
        <f>CI43/CI41</f>
        <v>1.6556291390728477E-3</v>
      </c>
      <c r="CL43" s="34">
        <v>1</v>
      </c>
      <c r="CM43" s="35">
        <f t="shared" ref="CM43:CM50" si="47">CL43/576</f>
        <v>1.736111111111111E-3</v>
      </c>
      <c r="CO43" s="86">
        <v>0</v>
      </c>
      <c r="CP43" s="35">
        <f t="shared" si="44"/>
        <v>0</v>
      </c>
      <c r="CR43" s="34">
        <v>0</v>
      </c>
      <c r="CS43" s="35">
        <f t="shared" si="45"/>
        <v>0</v>
      </c>
      <c r="CU43" s="34">
        <v>0</v>
      </c>
      <c r="CV43" s="35">
        <f t="shared" ref="CV43:CV51" si="48">CU43/$CX$41</f>
        <v>0</v>
      </c>
      <c r="CX43" s="34">
        <v>0</v>
      </c>
      <c r="CY43" s="35">
        <f t="shared" si="46"/>
        <v>0</v>
      </c>
      <c r="CZ43" s="34"/>
      <c r="DA43" s="34">
        <v>0</v>
      </c>
      <c r="DB43" s="35">
        <f t="shared" ref="DB43:DB51" si="49">DA43/$DA$41</f>
        <v>0</v>
      </c>
      <c r="DC43" s="34"/>
      <c r="DD43" s="34">
        <v>0</v>
      </c>
      <c r="DE43" s="35">
        <f t="shared" ref="DE43:DE51" si="50">DD43/$DA$41</f>
        <v>0</v>
      </c>
      <c r="DF43" s="34"/>
      <c r="DG43" s="34">
        <v>0</v>
      </c>
      <c r="DH43" s="35">
        <f t="shared" ref="DH43:DH51" si="51">DG43/$DA$41</f>
        <v>0</v>
      </c>
    </row>
    <row r="44" spans="1:112" s="27" customFormat="1" ht="10.15" customHeight="1">
      <c r="B44" s="118" t="s">
        <v>32</v>
      </c>
      <c r="C44" s="118"/>
      <c r="D44" s="118"/>
      <c r="E44" s="118"/>
      <c r="F44" s="34">
        <v>29</v>
      </c>
      <c r="G44" s="35">
        <f>(F44/F41)</f>
        <v>6.6820276497695855E-2</v>
      </c>
      <c r="H44" s="34"/>
      <c r="I44" s="34">
        <v>28</v>
      </c>
      <c r="J44" s="35">
        <f>(I44/I41)</f>
        <v>8.3086053412462904E-2</v>
      </c>
      <c r="K44" s="36"/>
      <c r="L44" s="34">
        <v>18</v>
      </c>
      <c r="M44" s="35">
        <f>(L44/L41)</f>
        <v>5.7877813504823149E-2</v>
      </c>
      <c r="N44" s="37"/>
      <c r="O44" s="34">
        <v>13</v>
      </c>
      <c r="P44" s="35">
        <f>(O44/O41)</f>
        <v>4.2622950819672129E-2</v>
      </c>
      <c r="Q44" s="37"/>
      <c r="R44" s="34">
        <v>12</v>
      </c>
      <c r="S44" s="35">
        <f>(R44/R41)</f>
        <v>3.9473684210526314E-2</v>
      </c>
      <c r="T44" s="37"/>
      <c r="U44" s="34">
        <f>3+7+4</f>
        <v>14</v>
      </c>
      <c r="V44" s="35">
        <f>(U44/U41)</f>
        <v>4.2944785276073622E-2</v>
      </c>
      <c r="W44" s="37"/>
      <c r="X44" s="34">
        <f>3+10+1</f>
        <v>14</v>
      </c>
      <c r="Y44" s="35">
        <f>(X44/X41)</f>
        <v>4.2042042042042045E-2</v>
      </c>
      <c r="Z44" s="37"/>
      <c r="AA44" s="34">
        <v>10</v>
      </c>
      <c r="AB44" s="35">
        <f>(AA44/AA41)</f>
        <v>3.1055900621118012E-2</v>
      </c>
      <c r="AC44" s="37"/>
      <c r="AD44" s="34">
        <v>17</v>
      </c>
      <c r="AE44" s="35">
        <f>(AD44/AD41)</f>
        <v>4.7486033519553071E-2</v>
      </c>
      <c r="AF44" s="37"/>
      <c r="AG44" s="34">
        <f>6+13+6</f>
        <v>25</v>
      </c>
      <c r="AH44" s="35">
        <f>(AG44/AG41)</f>
        <v>6.9832402234636867E-2</v>
      </c>
      <c r="AI44" s="37"/>
      <c r="AJ44" s="34">
        <f>7+11+3</f>
        <v>21</v>
      </c>
      <c r="AK44" s="35">
        <f>(AJ44/AJ41)</f>
        <v>5.9322033898305086E-2</v>
      </c>
      <c r="AL44" s="37"/>
      <c r="AM44" s="34">
        <f>7+8+4</f>
        <v>19</v>
      </c>
      <c r="AN44" s="35">
        <f>(AM44/AM41)</f>
        <v>5.2631578947368418E-2</v>
      </c>
      <c r="AP44" s="34">
        <f>4+4+15</f>
        <v>23</v>
      </c>
      <c r="AQ44" s="35">
        <f>(AP44/AP41)</f>
        <v>6.3013698630136991E-2</v>
      </c>
      <c r="AS44" s="34">
        <v>21</v>
      </c>
      <c r="AT44" s="35">
        <f>(AS44/AS41)</f>
        <v>5.4973821989528798E-2</v>
      </c>
      <c r="AV44" s="34">
        <f>5+16+1</f>
        <v>22</v>
      </c>
      <c r="AW44" s="35">
        <f>(AV44/AV41)</f>
        <v>5.9782608695652176E-2</v>
      </c>
      <c r="AY44" s="34">
        <v>21</v>
      </c>
      <c r="AZ44" s="35">
        <f>(AY44/AY41)</f>
        <v>5.5851063829787231E-2</v>
      </c>
      <c r="BB44" s="34">
        <f>3+5+19+1+1</f>
        <v>29</v>
      </c>
      <c r="BC44" s="35">
        <f>(BB44/BB41)</f>
        <v>7.3232323232323232E-2</v>
      </c>
      <c r="BE44" s="34">
        <v>28</v>
      </c>
      <c r="BF44" s="35">
        <f>(BE44/BE41)</f>
        <v>7.2916666666666671E-2</v>
      </c>
      <c r="BH44" s="34">
        <v>31</v>
      </c>
      <c r="BI44" s="35">
        <f>(BH44/BH41)</f>
        <v>7.5794621026894868E-2</v>
      </c>
      <c r="BK44" s="34">
        <v>33</v>
      </c>
      <c r="BL44" s="35">
        <f>(BK44/BK41)</f>
        <v>8.2500000000000004E-2</v>
      </c>
      <c r="BN44" s="34">
        <v>28</v>
      </c>
      <c r="BO44" s="35">
        <f>(BN44/BN41)</f>
        <v>6.4814814814814811E-2</v>
      </c>
      <c r="BQ44" s="34">
        <v>40</v>
      </c>
      <c r="BR44" s="35">
        <f>(BQ44/BQ41)</f>
        <v>8.4566596194503171E-2</v>
      </c>
      <c r="BT44" s="34">
        <v>39</v>
      </c>
      <c r="BU44" s="35">
        <f>(BT44/BT41)</f>
        <v>7.5875486381322951E-2</v>
      </c>
      <c r="BW44" s="34">
        <v>46</v>
      </c>
      <c r="BX44" s="35">
        <f>(BW44/BW41)</f>
        <v>8.1705150976909419E-2</v>
      </c>
      <c r="BZ44" s="34">
        <v>48</v>
      </c>
      <c r="CA44" s="35">
        <f>(BZ44/BZ41)</f>
        <v>8.3623693379790948E-2</v>
      </c>
      <c r="CC44" s="34">
        <v>51</v>
      </c>
      <c r="CD44" s="35">
        <f>(CC44/CC41)</f>
        <v>8.7328767123287673E-2</v>
      </c>
      <c r="CF44" s="34">
        <v>52</v>
      </c>
      <c r="CG44" s="35">
        <f>(CF44/CF41)</f>
        <v>8.7248322147651006E-2</v>
      </c>
      <c r="CI44" s="34">
        <v>47</v>
      </c>
      <c r="CJ44" s="35">
        <f>CI44/CI41</f>
        <v>7.7814569536423836E-2</v>
      </c>
      <c r="CL44" s="34">
        <v>47</v>
      </c>
      <c r="CM44" s="35">
        <f t="shared" si="47"/>
        <v>8.1597222222222224E-2</v>
      </c>
      <c r="CO44" s="86">
        <v>38</v>
      </c>
      <c r="CP44" s="35">
        <f t="shared" si="44"/>
        <v>6.3227953410981697E-2</v>
      </c>
      <c r="CR44" s="34">
        <v>40</v>
      </c>
      <c r="CS44" s="35">
        <f t="shared" si="45"/>
        <v>6.9084628670120898E-2</v>
      </c>
      <c r="CU44" s="34">
        <v>39</v>
      </c>
      <c r="CV44" s="35">
        <f t="shared" si="48"/>
        <v>6.8062827225130892E-2</v>
      </c>
      <c r="CX44" s="34">
        <v>32</v>
      </c>
      <c r="CY44" s="35">
        <f t="shared" si="46"/>
        <v>5.5846422338568937E-2</v>
      </c>
      <c r="CZ44" s="34"/>
      <c r="DA44" s="34">
        <v>42</v>
      </c>
      <c r="DB44" s="35">
        <f t="shared" si="49"/>
        <v>6.9306930693069313E-2</v>
      </c>
      <c r="DC44" s="34"/>
      <c r="DD44" s="34">
        <v>48</v>
      </c>
      <c r="DE44" s="35">
        <f t="shared" si="50"/>
        <v>7.9207920792079209E-2</v>
      </c>
      <c r="DF44" s="34"/>
      <c r="DG44" s="34">
        <v>42</v>
      </c>
      <c r="DH44" s="35">
        <f t="shared" si="51"/>
        <v>6.9306930693069313E-2</v>
      </c>
    </row>
    <row r="45" spans="1:112" s="27" customFormat="1" ht="10.15" customHeight="1">
      <c r="B45" s="118" t="s">
        <v>10</v>
      </c>
      <c r="C45" s="118"/>
      <c r="D45" s="118"/>
      <c r="E45" s="118"/>
      <c r="F45" s="34">
        <v>8</v>
      </c>
      <c r="G45" s="35">
        <f>(F45/F41)</f>
        <v>1.8433179723502304E-2</v>
      </c>
      <c r="H45" s="34"/>
      <c r="I45" s="34">
        <v>7</v>
      </c>
      <c r="J45" s="35">
        <f>(I45/I41)</f>
        <v>2.0771513353115726E-2</v>
      </c>
      <c r="K45" s="36"/>
      <c r="L45" s="34">
        <v>4</v>
      </c>
      <c r="M45" s="35">
        <f>(L45/L41)</f>
        <v>1.2861736334405145E-2</v>
      </c>
      <c r="N45" s="37"/>
      <c r="O45" s="34">
        <v>6</v>
      </c>
      <c r="P45" s="35">
        <f>(O45/O41)</f>
        <v>1.9672131147540985E-2</v>
      </c>
      <c r="Q45" s="37"/>
      <c r="R45" s="34">
        <v>12</v>
      </c>
      <c r="S45" s="35">
        <f>(R45/R41)</f>
        <v>3.9473684210526314E-2</v>
      </c>
      <c r="T45" s="37"/>
      <c r="U45" s="34">
        <f>1+7</f>
        <v>8</v>
      </c>
      <c r="V45" s="35">
        <f>(U45/U41)</f>
        <v>2.4539877300613498E-2</v>
      </c>
      <c r="W45" s="37"/>
      <c r="X45" s="34">
        <f>1+5+0</f>
        <v>6</v>
      </c>
      <c r="Y45" s="35">
        <f>(X45/X41)</f>
        <v>1.8018018018018018E-2</v>
      </c>
      <c r="Z45" s="37"/>
      <c r="AA45" s="34">
        <v>5</v>
      </c>
      <c r="AB45" s="35">
        <f>(AA45/AA41)</f>
        <v>1.5527950310559006E-2</v>
      </c>
      <c r="AC45" s="37"/>
      <c r="AD45" s="34">
        <v>9</v>
      </c>
      <c r="AE45" s="35">
        <f>(AD45/AD41)</f>
        <v>2.5139664804469275E-2</v>
      </c>
      <c r="AF45" s="37"/>
      <c r="AG45" s="34">
        <f>1+5+1</f>
        <v>7</v>
      </c>
      <c r="AH45" s="35">
        <f>(AG45/AG41)</f>
        <v>1.9553072625698324E-2</v>
      </c>
      <c r="AI45" s="37"/>
      <c r="AJ45" s="34">
        <f>1+9+1</f>
        <v>11</v>
      </c>
      <c r="AK45" s="35">
        <f>(AJ45/AJ41)</f>
        <v>3.1073446327683617E-2</v>
      </c>
      <c r="AL45" s="37"/>
      <c r="AM45" s="34">
        <v>7</v>
      </c>
      <c r="AN45" s="35">
        <f>(AM45/AM41)</f>
        <v>1.9390581717451522E-2</v>
      </c>
      <c r="AP45" s="34">
        <f>1+6</f>
        <v>7</v>
      </c>
      <c r="AQ45" s="35">
        <f>(AP45/AP41)</f>
        <v>1.9178082191780823E-2</v>
      </c>
      <c r="AS45" s="34">
        <v>9</v>
      </c>
      <c r="AT45" s="35">
        <f>(AS45/AS41)</f>
        <v>2.356020942408377E-2</v>
      </c>
      <c r="AV45" s="34">
        <f>2+7</f>
        <v>9</v>
      </c>
      <c r="AW45" s="35">
        <f>(AV45/AV41)</f>
        <v>2.4456521739130436E-2</v>
      </c>
      <c r="AY45" s="34">
        <v>8</v>
      </c>
      <c r="AZ45" s="35">
        <f>(AY45/AY41)</f>
        <v>2.1276595744680851E-2</v>
      </c>
      <c r="BB45" s="34">
        <f>3+0+9+0+0+0</f>
        <v>12</v>
      </c>
      <c r="BC45" s="35">
        <f>(BB45/BB41)</f>
        <v>3.0303030303030304E-2</v>
      </c>
      <c r="BE45" s="34">
        <v>10</v>
      </c>
      <c r="BF45" s="35">
        <f>(BE45/BE41)</f>
        <v>2.6041666666666668E-2</v>
      </c>
      <c r="BH45" s="34">
        <v>7</v>
      </c>
      <c r="BI45" s="35">
        <f>(BH45/BH41)</f>
        <v>1.7114914425427872E-2</v>
      </c>
      <c r="BK45" s="34">
        <v>10</v>
      </c>
      <c r="BL45" s="35">
        <f>(BK45/BK41)</f>
        <v>2.5000000000000001E-2</v>
      </c>
      <c r="BN45" s="34">
        <v>15</v>
      </c>
      <c r="BO45" s="35">
        <f>(BN45/BN41)</f>
        <v>3.4722222222222224E-2</v>
      </c>
      <c r="BQ45" s="34">
        <v>17</v>
      </c>
      <c r="BR45" s="35">
        <f>(BQ45/BQ41)</f>
        <v>3.5940803382663845E-2</v>
      </c>
      <c r="BT45" s="34">
        <v>20</v>
      </c>
      <c r="BU45" s="35">
        <f>(BT45/BT41)</f>
        <v>3.8910505836575876E-2</v>
      </c>
      <c r="BW45" s="34">
        <v>20</v>
      </c>
      <c r="BX45" s="35">
        <f>(BW45/BW41)</f>
        <v>3.5523978685612786E-2</v>
      </c>
      <c r="BZ45" s="34">
        <v>22</v>
      </c>
      <c r="CA45" s="35">
        <f>(BZ45/BZ41)</f>
        <v>3.8327526132404179E-2</v>
      </c>
      <c r="CC45" s="34">
        <v>25</v>
      </c>
      <c r="CD45" s="35">
        <f>(CC45/CC41)</f>
        <v>4.2808219178082189E-2</v>
      </c>
      <c r="CF45" s="34">
        <v>28</v>
      </c>
      <c r="CG45" s="35">
        <f>(CF45/CF41)</f>
        <v>4.6979865771812082E-2</v>
      </c>
      <c r="CI45" s="34">
        <v>27</v>
      </c>
      <c r="CJ45" s="35">
        <f>CI45/CI41</f>
        <v>4.4701986754966887E-2</v>
      </c>
      <c r="CL45" s="34">
        <v>28</v>
      </c>
      <c r="CM45" s="35">
        <f t="shared" si="47"/>
        <v>4.8611111111111112E-2</v>
      </c>
      <c r="CO45" s="86">
        <v>21</v>
      </c>
      <c r="CP45" s="35">
        <f t="shared" si="44"/>
        <v>3.4941763727121461E-2</v>
      </c>
      <c r="CR45" s="34">
        <v>22</v>
      </c>
      <c r="CS45" s="35">
        <f t="shared" si="45"/>
        <v>3.7996545768566495E-2</v>
      </c>
      <c r="CU45" s="34">
        <v>21</v>
      </c>
      <c r="CV45" s="35">
        <f t="shared" si="48"/>
        <v>3.6649214659685861E-2</v>
      </c>
      <c r="CX45" s="34">
        <v>22</v>
      </c>
      <c r="CY45" s="35">
        <f t="shared" si="46"/>
        <v>3.8394415357766144E-2</v>
      </c>
      <c r="CZ45" s="34"/>
      <c r="DA45" s="34">
        <v>23</v>
      </c>
      <c r="DB45" s="35">
        <f t="shared" si="49"/>
        <v>3.7953795379537955E-2</v>
      </c>
      <c r="DC45" s="34"/>
      <c r="DD45" s="34">
        <v>22</v>
      </c>
      <c r="DE45" s="35">
        <f t="shared" si="50"/>
        <v>3.6303630363036306E-2</v>
      </c>
      <c r="DF45" s="34"/>
      <c r="DG45" s="34">
        <v>28</v>
      </c>
      <c r="DH45" s="35">
        <f t="shared" si="51"/>
        <v>4.6204620462046202E-2</v>
      </c>
    </row>
    <row r="46" spans="1:112" s="27" customFormat="1" ht="10.15" customHeight="1">
      <c r="B46" s="118" t="s">
        <v>33</v>
      </c>
      <c r="C46" s="118"/>
      <c r="D46" s="118"/>
      <c r="E46" s="118"/>
      <c r="F46" s="34"/>
      <c r="G46" s="35"/>
      <c r="H46" s="34"/>
      <c r="I46" s="34"/>
      <c r="J46" s="35"/>
      <c r="K46" s="36"/>
      <c r="L46" s="34"/>
      <c r="M46" s="35"/>
      <c r="N46" s="37"/>
      <c r="O46" s="34"/>
      <c r="P46" s="35"/>
      <c r="Q46" s="37"/>
      <c r="R46" s="34"/>
      <c r="S46" s="35"/>
      <c r="T46" s="37"/>
      <c r="U46" s="34"/>
      <c r="V46" s="35"/>
      <c r="W46" s="37"/>
      <c r="X46" s="34"/>
      <c r="Y46" s="35"/>
      <c r="Z46" s="37"/>
      <c r="AA46" s="34"/>
      <c r="AB46" s="35"/>
      <c r="AC46" s="37"/>
      <c r="AD46" s="34"/>
      <c r="AE46" s="35"/>
      <c r="AF46" s="37"/>
      <c r="AG46" s="34"/>
      <c r="AH46" s="35"/>
      <c r="AI46" s="37"/>
      <c r="AJ46" s="34"/>
      <c r="AK46" s="35"/>
      <c r="AL46" s="37"/>
      <c r="AM46" s="34"/>
      <c r="AN46" s="35"/>
      <c r="AP46" s="34"/>
      <c r="AQ46" s="35"/>
      <c r="AS46" s="34"/>
      <c r="AT46" s="35"/>
      <c r="AV46" s="34"/>
      <c r="AW46" s="35"/>
      <c r="AY46" s="34"/>
      <c r="AZ46" s="35"/>
      <c r="BB46" s="34"/>
      <c r="BC46" s="35"/>
      <c r="BE46" s="34"/>
      <c r="BF46" s="35"/>
      <c r="BH46" s="34"/>
      <c r="BI46" s="35"/>
      <c r="BK46" s="34">
        <v>0</v>
      </c>
      <c r="BL46" s="35">
        <f>BK46/BK41</f>
        <v>0</v>
      </c>
      <c r="BN46" s="34">
        <v>0</v>
      </c>
      <c r="BO46" s="35">
        <f>BN46/BN41</f>
        <v>0</v>
      </c>
      <c r="BQ46" s="34">
        <v>0</v>
      </c>
      <c r="BR46" s="35">
        <f>BQ46/BQ41</f>
        <v>0</v>
      </c>
      <c r="BT46" s="34">
        <v>0</v>
      </c>
      <c r="BU46" s="35">
        <f>BT46/BT41</f>
        <v>0</v>
      </c>
      <c r="BW46" s="34">
        <v>0</v>
      </c>
      <c r="BX46" s="35">
        <f>BW46/BW41</f>
        <v>0</v>
      </c>
      <c r="BZ46" s="34">
        <v>0</v>
      </c>
      <c r="CA46" s="35">
        <f>BZ46/BZ41</f>
        <v>0</v>
      </c>
      <c r="CC46" s="34">
        <v>0</v>
      </c>
      <c r="CD46" s="35">
        <f>CC46/CC41</f>
        <v>0</v>
      </c>
      <c r="CF46" s="34">
        <v>0</v>
      </c>
      <c r="CG46" s="35">
        <f>CF46/CF41</f>
        <v>0</v>
      </c>
      <c r="CI46" s="34">
        <v>0</v>
      </c>
      <c r="CJ46" s="35">
        <f>CI46/CI41</f>
        <v>0</v>
      </c>
      <c r="CL46" s="34">
        <v>0</v>
      </c>
      <c r="CM46" s="35">
        <f t="shared" si="47"/>
        <v>0</v>
      </c>
      <c r="CO46" s="86">
        <v>0</v>
      </c>
      <c r="CP46" s="35">
        <f t="shared" si="44"/>
        <v>0</v>
      </c>
      <c r="CR46" s="34">
        <v>0</v>
      </c>
      <c r="CS46" s="35">
        <f t="shared" si="45"/>
        <v>0</v>
      </c>
      <c r="CU46" s="34">
        <v>0</v>
      </c>
      <c r="CV46" s="35">
        <f t="shared" si="48"/>
        <v>0</v>
      </c>
      <c r="CX46" s="34">
        <v>0</v>
      </c>
      <c r="CY46" s="35">
        <f t="shared" si="46"/>
        <v>0</v>
      </c>
      <c r="CZ46" s="34"/>
      <c r="DA46" s="34">
        <v>1</v>
      </c>
      <c r="DB46" s="35">
        <f t="shared" si="49"/>
        <v>1.6501650165016502E-3</v>
      </c>
      <c r="DC46" s="34"/>
      <c r="DD46" s="34">
        <v>1</v>
      </c>
      <c r="DE46" s="35">
        <f t="shared" si="50"/>
        <v>1.6501650165016502E-3</v>
      </c>
      <c r="DF46" s="34"/>
      <c r="DG46" s="34">
        <v>1</v>
      </c>
      <c r="DH46" s="35">
        <f t="shared" si="51"/>
        <v>1.6501650165016502E-3</v>
      </c>
    </row>
    <row r="47" spans="1:112" s="27" customFormat="1" ht="10.15" customHeight="1">
      <c r="B47" s="118" t="s">
        <v>34</v>
      </c>
      <c r="C47" s="118"/>
      <c r="D47" s="118"/>
      <c r="E47" s="118"/>
      <c r="F47" s="34"/>
      <c r="G47" s="35"/>
      <c r="H47" s="34"/>
      <c r="I47" s="34"/>
      <c r="J47" s="35"/>
      <c r="K47" s="36"/>
      <c r="L47" s="34"/>
      <c r="M47" s="35"/>
      <c r="N47" s="37"/>
      <c r="O47" s="34"/>
      <c r="P47" s="35"/>
      <c r="Q47" s="37"/>
      <c r="R47" s="34"/>
      <c r="S47" s="35"/>
      <c r="T47" s="37"/>
      <c r="U47" s="34"/>
      <c r="V47" s="35"/>
      <c r="W47" s="37"/>
      <c r="X47" s="34"/>
      <c r="Y47" s="35"/>
      <c r="Z47" s="37"/>
      <c r="AA47" s="34"/>
      <c r="AB47" s="35"/>
      <c r="AC47" s="37"/>
      <c r="AD47" s="34"/>
      <c r="AE47" s="35"/>
      <c r="AF47" s="37"/>
      <c r="AG47" s="34"/>
      <c r="AH47" s="35"/>
      <c r="AI47" s="37"/>
      <c r="AJ47" s="34"/>
      <c r="AK47" s="35"/>
      <c r="AL47" s="37"/>
      <c r="AM47" s="34"/>
      <c r="AN47" s="35"/>
      <c r="AP47" s="34"/>
      <c r="AQ47" s="35"/>
      <c r="AS47" s="34"/>
      <c r="AT47" s="35"/>
      <c r="AV47" s="34"/>
      <c r="AW47" s="35"/>
      <c r="AY47" s="34"/>
      <c r="AZ47" s="35"/>
      <c r="BB47" s="34"/>
      <c r="BC47" s="35"/>
      <c r="BE47" s="34"/>
      <c r="BF47" s="35"/>
      <c r="BH47" s="34"/>
      <c r="BI47" s="35"/>
      <c r="BK47" s="34">
        <v>1</v>
      </c>
      <c r="BL47" s="35">
        <f>BK47/BK41</f>
        <v>2.5000000000000001E-3</v>
      </c>
      <c r="BN47" s="34">
        <v>2</v>
      </c>
      <c r="BO47" s="35">
        <f>BN47/BN41</f>
        <v>4.6296296296296294E-3</v>
      </c>
      <c r="BQ47" s="34">
        <v>3</v>
      </c>
      <c r="BR47" s="35">
        <f>BQ47/BQ41</f>
        <v>6.3424947145877377E-3</v>
      </c>
      <c r="BT47" s="34">
        <v>2</v>
      </c>
      <c r="BU47" s="35">
        <f>BT47/BT41</f>
        <v>3.8910505836575876E-3</v>
      </c>
      <c r="BW47" s="34">
        <v>3</v>
      </c>
      <c r="BX47" s="35">
        <f>BW47/BW41</f>
        <v>5.3285968028419185E-3</v>
      </c>
      <c r="BZ47" s="34">
        <v>4</v>
      </c>
      <c r="CA47" s="35">
        <f>BZ47/BZ41</f>
        <v>6.9686411149825784E-3</v>
      </c>
      <c r="CC47" s="34">
        <v>4</v>
      </c>
      <c r="CD47" s="35">
        <f>CC47/CC41</f>
        <v>6.8493150684931503E-3</v>
      </c>
      <c r="CF47" s="34">
        <v>8</v>
      </c>
      <c r="CG47" s="35">
        <f>CF47/CF41</f>
        <v>1.3422818791946308E-2</v>
      </c>
      <c r="CI47" s="34">
        <v>6</v>
      </c>
      <c r="CJ47" s="35">
        <f>CI47/CI41</f>
        <v>9.9337748344370865E-3</v>
      </c>
      <c r="CL47" s="34">
        <v>5</v>
      </c>
      <c r="CM47" s="35">
        <f t="shared" si="47"/>
        <v>8.6805555555555559E-3</v>
      </c>
      <c r="CO47" s="86">
        <v>5</v>
      </c>
      <c r="CP47" s="35">
        <f t="shared" si="44"/>
        <v>8.3194675540765387E-3</v>
      </c>
      <c r="CR47" s="34">
        <v>3</v>
      </c>
      <c r="CS47" s="35">
        <f t="shared" si="45"/>
        <v>5.1813471502590676E-3</v>
      </c>
      <c r="CU47" s="34">
        <v>7</v>
      </c>
      <c r="CV47" s="35">
        <f t="shared" si="48"/>
        <v>1.2216404886561954E-2</v>
      </c>
      <c r="CX47" s="34">
        <v>7</v>
      </c>
      <c r="CY47" s="35">
        <f t="shared" si="46"/>
        <v>1.2216404886561954E-2</v>
      </c>
      <c r="CZ47" s="34"/>
      <c r="DA47" s="34">
        <v>6</v>
      </c>
      <c r="DB47" s="35">
        <f t="shared" si="49"/>
        <v>9.9009900990099011E-3</v>
      </c>
      <c r="DC47" s="34"/>
      <c r="DD47" s="34">
        <v>8</v>
      </c>
      <c r="DE47" s="35">
        <f t="shared" si="50"/>
        <v>1.3201320132013201E-2</v>
      </c>
      <c r="DF47" s="34"/>
      <c r="DG47" s="34">
        <v>10</v>
      </c>
      <c r="DH47" s="35">
        <f t="shared" si="51"/>
        <v>1.65016501650165E-2</v>
      </c>
    </row>
    <row r="48" spans="1:112" s="27" customFormat="1" ht="10.15" customHeight="1">
      <c r="B48" s="90" t="s">
        <v>71</v>
      </c>
      <c r="C48" s="90"/>
      <c r="D48" s="90"/>
      <c r="E48" s="90"/>
      <c r="F48" s="34"/>
      <c r="G48" s="35"/>
      <c r="H48" s="34"/>
      <c r="I48" s="34"/>
      <c r="J48" s="35"/>
      <c r="K48" s="36"/>
      <c r="L48" s="34"/>
      <c r="M48" s="35"/>
      <c r="N48" s="37"/>
      <c r="O48" s="34"/>
      <c r="P48" s="35"/>
      <c r="Q48" s="37"/>
      <c r="R48" s="34"/>
      <c r="S48" s="35"/>
      <c r="T48" s="37"/>
      <c r="U48" s="34"/>
      <c r="V48" s="35"/>
      <c r="W48" s="37"/>
      <c r="X48" s="34"/>
      <c r="Y48" s="35"/>
      <c r="Z48" s="37"/>
      <c r="AA48" s="34"/>
      <c r="AB48" s="35"/>
      <c r="AC48" s="37"/>
      <c r="AD48" s="34"/>
      <c r="AE48" s="35"/>
      <c r="AF48" s="37"/>
      <c r="AG48" s="34"/>
      <c r="AH48" s="35"/>
      <c r="AI48" s="37"/>
      <c r="AJ48" s="34"/>
      <c r="AK48" s="35"/>
      <c r="AL48" s="37"/>
      <c r="AM48" s="34"/>
      <c r="AN48" s="35"/>
      <c r="AP48" s="34"/>
      <c r="AQ48" s="35"/>
      <c r="AS48" s="34"/>
      <c r="AT48" s="35"/>
      <c r="AV48" s="34"/>
      <c r="AW48" s="35"/>
      <c r="AY48" s="34"/>
      <c r="AZ48" s="35"/>
      <c r="BB48" s="34"/>
      <c r="BC48" s="35"/>
      <c r="BE48" s="34"/>
      <c r="BF48" s="35"/>
      <c r="BH48" s="34"/>
      <c r="BI48" s="35"/>
      <c r="BK48" s="34"/>
      <c r="BL48" s="35"/>
      <c r="BN48" s="34"/>
      <c r="BO48" s="35"/>
      <c r="BQ48" s="34"/>
      <c r="BR48" s="35"/>
      <c r="BT48" s="34"/>
      <c r="BU48" s="35"/>
      <c r="BW48" s="34"/>
      <c r="BX48" s="35"/>
      <c r="BZ48" s="34"/>
      <c r="CA48" s="35"/>
      <c r="CC48" s="34"/>
      <c r="CD48" s="35"/>
      <c r="CF48" s="106" t="s">
        <v>59</v>
      </c>
      <c r="CG48" s="106" t="s">
        <v>61</v>
      </c>
      <c r="CI48" s="106" t="s">
        <v>59</v>
      </c>
      <c r="CJ48" s="106" t="s">
        <v>62</v>
      </c>
      <c r="CL48" s="106" t="s">
        <v>59</v>
      </c>
      <c r="CM48" s="106" t="s">
        <v>63</v>
      </c>
      <c r="CO48" s="86">
        <v>30</v>
      </c>
      <c r="CP48" s="35">
        <v>0</v>
      </c>
      <c r="CR48" s="34">
        <v>27</v>
      </c>
      <c r="CS48" s="35">
        <f t="shared" si="45"/>
        <v>4.6632124352331605E-2</v>
      </c>
      <c r="CU48" s="34">
        <v>26</v>
      </c>
      <c r="CV48" s="35">
        <f t="shared" si="48"/>
        <v>4.5375218150087257E-2</v>
      </c>
      <c r="CX48" s="34">
        <v>29</v>
      </c>
      <c r="CY48" s="35">
        <f t="shared" si="46"/>
        <v>5.06108202443281E-2</v>
      </c>
      <c r="CZ48" s="34"/>
      <c r="DA48" s="34">
        <v>29</v>
      </c>
      <c r="DB48" s="35">
        <f t="shared" si="49"/>
        <v>4.7854785478547858E-2</v>
      </c>
      <c r="DC48" s="34"/>
      <c r="DD48" s="34">
        <v>29</v>
      </c>
      <c r="DE48" s="35">
        <f t="shared" si="50"/>
        <v>4.7854785478547858E-2</v>
      </c>
      <c r="DF48" s="34"/>
      <c r="DG48" s="34">
        <v>34</v>
      </c>
      <c r="DH48" s="35">
        <f t="shared" si="51"/>
        <v>5.6105610561056105E-2</v>
      </c>
    </row>
    <row r="49" spans="1:112" s="27" customFormat="1" ht="10.15" customHeight="1">
      <c r="C49" s="119" t="s">
        <v>68</v>
      </c>
      <c r="D49" s="119"/>
      <c r="E49" s="119"/>
      <c r="F49" s="34">
        <f>SUM(F42:F45)</f>
        <v>46</v>
      </c>
      <c r="G49" s="35">
        <f>(F49/F41)</f>
        <v>0.10599078341013825</v>
      </c>
      <c r="H49" s="34"/>
      <c r="I49" s="34">
        <f>SUM(I42:I45)</f>
        <v>40</v>
      </c>
      <c r="J49" s="35">
        <f>(I49/I41)</f>
        <v>0.11869436201780416</v>
      </c>
      <c r="K49" s="36"/>
      <c r="L49" s="34">
        <f>SUM(L42:L45)</f>
        <v>26</v>
      </c>
      <c r="M49" s="35">
        <f>(L49/L41)</f>
        <v>8.3601286173633438E-2</v>
      </c>
      <c r="N49" s="37"/>
      <c r="O49" s="34">
        <f>SUM(O42:O45)</f>
        <v>24</v>
      </c>
      <c r="P49" s="35">
        <f>(O49/O41)</f>
        <v>7.8688524590163941E-2</v>
      </c>
      <c r="Q49" s="37"/>
      <c r="R49" s="34">
        <f>SUM(R42:R45)</f>
        <v>30</v>
      </c>
      <c r="S49" s="35">
        <f>(R49/R41)</f>
        <v>9.8684210526315791E-2</v>
      </c>
      <c r="T49" s="37"/>
      <c r="U49" s="34">
        <f>SUM(U42:U45)</f>
        <v>26</v>
      </c>
      <c r="V49" s="35">
        <f>(U49/U41)</f>
        <v>7.9754601226993863E-2</v>
      </c>
      <c r="W49" s="37"/>
      <c r="X49" s="34">
        <f>SUM(X42:X45)</f>
        <v>31</v>
      </c>
      <c r="Y49" s="35">
        <f>(X49/X41)</f>
        <v>9.3093093093093091E-2</v>
      </c>
      <c r="Z49" s="37"/>
      <c r="AA49" s="34">
        <f>SUM(AA42:AA45)</f>
        <v>25</v>
      </c>
      <c r="AB49" s="35">
        <f>(AA49/AA41)</f>
        <v>7.7639751552795025E-2</v>
      </c>
      <c r="AC49" s="37"/>
      <c r="AD49" s="34">
        <f>SUM(AD42:AD45)</f>
        <v>36</v>
      </c>
      <c r="AE49" s="35">
        <f>(AD49/AD41)</f>
        <v>0.1005586592178771</v>
      </c>
      <c r="AF49" s="37"/>
      <c r="AG49" s="34">
        <f>SUM(AG42:AG45)</f>
        <v>42</v>
      </c>
      <c r="AH49" s="35">
        <f>(AG49/AG41)</f>
        <v>0.11731843575418995</v>
      </c>
      <c r="AI49" s="37"/>
      <c r="AJ49" s="34">
        <f>SUM(AJ42:AJ45)</f>
        <v>43</v>
      </c>
      <c r="AK49" s="35">
        <f>(AJ49/AJ41)</f>
        <v>0.12146892655367232</v>
      </c>
      <c r="AL49" s="37"/>
      <c r="AM49" s="34">
        <f>SUM(AM42:AM45)</f>
        <v>37</v>
      </c>
      <c r="AN49" s="35">
        <f>(AM49/AM41)</f>
        <v>0.10249307479224377</v>
      </c>
      <c r="AP49" s="34">
        <f>SUM(AP42:AP45)</f>
        <v>44</v>
      </c>
      <c r="AQ49" s="35">
        <f>(AP49/AP41)</f>
        <v>0.12054794520547946</v>
      </c>
      <c r="AS49" s="34">
        <f>SUM(AS42:AS45)</f>
        <v>45</v>
      </c>
      <c r="AT49" s="35">
        <f>(AS49/AS41)</f>
        <v>0.11780104712041885</v>
      </c>
      <c r="AV49" s="34">
        <f>SUM(AV42:AV45)</f>
        <v>43</v>
      </c>
      <c r="AW49" s="35">
        <f>(AV49/AV41)</f>
        <v>0.11684782608695653</v>
      </c>
      <c r="AY49" s="34">
        <f>SUM(AY42:AY45)</f>
        <v>41</v>
      </c>
      <c r="AZ49" s="35">
        <f>(AY49/AY41)</f>
        <v>0.10904255319148937</v>
      </c>
      <c r="BB49" s="34">
        <f>SUM(BB42:BB45)</f>
        <v>54</v>
      </c>
      <c r="BC49" s="35">
        <f>(BB49/BB41)</f>
        <v>0.13636363636363635</v>
      </c>
      <c r="BE49" s="34">
        <f>SUM(BE42:BE45)</f>
        <v>52</v>
      </c>
      <c r="BF49" s="35">
        <f>(BE49/BE41)</f>
        <v>0.13541666666666666</v>
      </c>
      <c r="BH49" s="34">
        <f>SUM(BH42:BH45)</f>
        <v>50</v>
      </c>
      <c r="BI49" s="35">
        <f>(BH49/BH41)</f>
        <v>0.12224938875305623</v>
      </c>
      <c r="BK49" s="34">
        <f>SUM(BK42:BK47)</f>
        <v>54</v>
      </c>
      <c r="BL49" s="35">
        <f>(BK49/BK41)</f>
        <v>0.13500000000000001</v>
      </c>
      <c r="BN49" s="34">
        <f>SUM(BN42:BN47)</f>
        <v>56</v>
      </c>
      <c r="BO49" s="35">
        <f>(BN49/BN41)</f>
        <v>0.12962962962962962</v>
      </c>
      <c r="BQ49" s="34">
        <f>SUM(BQ42:BQ47)</f>
        <v>73</v>
      </c>
      <c r="BR49" s="35">
        <f>(BQ49/BQ41)</f>
        <v>0.15433403805496829</v>
      </c>
      <c r="BT49" s="34">
        <f>SUM(BT42:BT47)</f>
        <v>76</v>
      </c>
      <c r="BU49" s="35">
        <f>(BT49/BT41)</f>
        <v>0.14785992217898833</v>
      </c>
      <c r="BW49" s="34">
        <f>SUM(BW42:BW47)</f>
        <v>84</v>
      </c>
      <c r="BX49" s="35">
        <f>(BW49/BW41)</f>
        <v>0.1492007104795737</v>
      </c>
      <c r="BZ49" s="34">
        <f>SUM(BZ42:BZ47)</f>
        <v>90</v>
      </c>
      <c r="CA49" s="35">
        <f>(BZ49/BZ41)</f>
        <v>0.156794425087108</v>
      </c>
      <c r="CC49" s="34">
        <f>SUM(CC42:CC47)</f>
        <v>95</v>
      </c>
      <c r="CD49" s="35">
        <f>(CC49/CC41)</f>
        <v>0.16267123287671234</v>
      </c>
      <c r="CF49" s="34">
        <f>SUM(CF42:CF47)</f>
        <v>105</v>
      </c>
      <c r="CG49" s="35">
        <f>(CF49/CF41)</f>
        <v>0.1761744966442953</v>
      </c>
      <c r="CI49" s="34">
        <f>SUM(CI42:CI47)</f>
        <v>100</v>
      </c>
      <c r="CJ49" s="35">
        <f>CI49/CI41</f>
        <v>0.16556291390728478</v>
      </c>
      <c r="CL49" s="34">
        <f>SUM(CL42:CL47)</f>
        <v>96</v>
      </c>
      <c r="CM49" s="35">
        <f t="shared" si="47"/>
        <v>0.16666666666666666</v>
      </c>
      <c r="CO49" s="86">
        <f>SUM(CO42:CO48)</f>
        <v>109</v>
      </c>
      <c r="CP49" s="35">
        <f t="shared" si="44"/>
        <v>0.18136439267886856</v>
      </c>
      <c r="CR49" s="34">
        <f>SUM(CR42:CR48)</f>
        <v>107</v>
      </c>
      <c r="CS49" s="35">
        <f t="shared" si="45"/>
        <v>0.1848013816925734</v>
      </c>
      <c r="CU49" s="34">
        <f>SUM(CU42:CU48)</f>
        <v>108</v>
      </c>
      <c r="CV49" s="35">
        <f t="shared" si="48"/>
        <v>0.18848167539267016</v>
      </c>
      <c r="CX49" s="34">
        <f>SUM(CX42:CX48)</f>
        <v>105</v>
      </c>
      <c r="CY49" s="35">
        <f t="shared" si="46"/>
        <v>0.18324607329842932</v>
      </c>
      <c r="CZ49" s="34"/>
      <c r="DA49" s="34">
        <f>SUM(DA42:DA48)</f>
        <v>116</v>
      </c>
      <c r="DB49" s="35">
        <f t="shared" si="49"/>
        <v>0.19141914191419143</v>
      </c>
      <c r="DC49" s="34"/>
      <c r="DD49" s="34">
        <f>SUM(DD42:DD48)</f>
        <v>125</v>
      </c>
      <c r="DE49" s="35">
        <f t="shared" si="50"/>
        <v>0.20627062706270627</v>
      </c>
      <c r="DF49" s="34"/>
      <c r="DG49" s="34">
        <f>SUM(DG42:DG48)</f>
        <v>135</v>
      </c>
      <c r="DH49" s="35">
        <f t="shared" si="51"/>
        <v>0.22277227722772278</v>
      </c>
    </row>
    <row r="50" spans="1:112" s="27" customFormat="1" ht="10.15" customHeight="1">
      <c r="B50" s="90" t="s">
        <v>38</v>
      </c>
      <c r="C50" s="90"/>
      <c r="D50" s="90"/>
      <c r="E50" s="90"/>
      <c r="F50" s="34">
        <v>388</v>
      </c>
      <c r="G50" s="35">
        <f>(F50/F41)</f>
        <v>0.89400921658986177</v>
      </c>
      <c r="H50" s="34"/>
      <c r="I50" s="34">
        <v>297</v>
      </c>
      <c r="J50" s="35">
        <f>(I50/I41)</f>
        <v>0.88130563798219586</v>
      </c>
      <c r="K50" s="36"/>
      <c r="L50" s="34">
        <v>285</v>
      </c>
      <c r="M50" s="35">
        <f>(L50/L41)</f>
        <v>0.91639871382636651</v>
      </c>
      <c r="N50" s="37"/>
      <c r="O50" s="34">
        <v>281</v>
      </c>
      <c r="P50" s="35">
        <f>(O50/O41)</f>
        <v>0.92131147540983604</v>
      </c>
      <c r="Q50" s="37"/>
      <c r="R50" s="34">
        <f>116+150+8</f>
        <v>274</v>
      </c>
      <c r="S50" s="35">
        <f>(R50/R41)</f>
        <v>0.90131578947368418</v>
      </c>
      <c r="T50" s="37"/>
      <c r="U50" s="34">
        <f>102+1+185+2+10</f>
        <v>300</v>
      </c>
      <c r="V50" s="35">
        <f>(U50/U41)</f>
        <v>0.92024539877300615</v>
      </c>
      <c r="W50" s="37"/>
      <c r="X50" s="34">
        <f>97+195+9+1</f>
        <v>302</v>
      </c>
      <c r="Y50" s="35">
        <f>(X50/X41)</f>
        <v>0.9069069069069069</v>
      </c>
      <c r="Z50" s="37"/>
      <c r="AA50" s="34">
        <v>297</v>
      </c>
      <c r="AB50" s="35">
        <f>(AA50/AA41)</f>
        <v>0.92236024844720499</v>
      </c>
      <c r="AC50" s="37"/>
      <c r="AD50" s="34">
        <v>322</v>
      </c>
      <c r="AE50" s="35">
        <f>(AD50/AD41)</f>
        <v>0.8994413407821229</v>
      </c>
      <c r="AF50" s="37"/>
      <c r="AG50" s="34">
        <f>97+206+8+5</f>
        <v>316</v>
      </c>
      <c r="AH50" s="35">
        <f>(AG50/AG41)</f>
        <v>0.88268156424581001</v>
      </c>
      <c r="AI50" s="37"/>
      <c r="AJ50" s="34">
        <v>311</v>
      </c>
      <c r="AK50" s="35">
        <f>(AJ50/AJ41)</f>
        <v>0.87853107344632764</v>
      </c>
      <c r="AL50" s="37"/>
      <c r="AM50" s="34">
        <f>97+225+2</f>
        <v>324</v>
      </c>
      <c r="AN50" s="35">
        <f>(AM50/AM41)</f>
        <v>0.89750692520775621</v>
      </c>
      <c r="AP50" s="34">
        <f>82+5+228+6</f>
        <v>321</v>
      </c>
      <c r="AQ50" s="35">
        <f>(AP50/AP41)</f>
        <v>0.8794520547945206</v>
      </c>
      <c r="AS50" s="34">
        <f>75+4+228+16+12+2</f>
        <v>337</v>
      </c>
      <c r="AT50" s="35">
        <f>(AS50/AS41)</f>
        <v>0.88219895287958117</v>
      </c>
      <c r="AV50" s="34">
        <f>63+9+214+10+18+9+2</f>
        <v>325</v>
      </c>
      <c r="AW50" s="35">
        <f>(AV50/AV41)</f>
        <v>0.88315217391304346</v>
      </c>
      <c r="AY50" s="34">
        <v>335</v>
      </c>
      <c r="AZ50" s="35">
        <f>(AY50/AY41)</f>
        <v>0.89095744680851063</v>
      </c>
      <c r="BB50" s="34">
        <f>63+5+210+23+38+3</f>
        <v>342</v>
      </c>
      <c r="BC50" s="35">
        <f>(BB50/BB41)</f>
        <v>0.86363636363636365</v>
      </c>
      <c r="BE50" s="34">
        <v>332</v>
      </c>
      <c r="BF50" s="35">
        <f>(BE50/BE41)</f>
        <v>0.86458333333333337</v>
      </c>
      <c r="BH50" s="34">
        <v>359</v>
      </c>
      <c r="BI50" s="35">
        <f>(BH50/BH41)</f>
        <v>0.87775061124694376</v>
      </c>
      <c r="BK50" s="34">
        <v>346</v>
      </c>
      <c r="BL50" s="35">
        <f>(BK50/BK41)</f>
        <v>0.86499999999999999</v>
      </c>
      <c r="BN50" s="34">
        <v>376</v>
      </c>
      <c r="BO50" s="35">
        <f>(BN50/BN41)</f>
        <v>0.87037037037037035</v>
      </c>
      <c r="BQ50" s="34">
        <v>400</v>
      </c>
      <c r="BR50" s="35">
        <f>(BQ50/BQ41)</f>
        <v>0.84566596194503174</v>
      </c>
      <c r="BT50" s="34">
        <v>438</v>
      </c>
      <c r="BU50" s="35">
        <f>(BT50/BT41)</f>
        <v>0.85214007782101164</v>
      </c>
      <c r="BW50" s="34">
        <v>479</v>
      </c>
      <c r="BX50" s="35">
        <f>(BW50/BW41)</f>
        <v>0.85079928952042627</v>
      </c>
      <c r="BZ50" s="34">
        <v>484</v>
      </c>
      <c r="CA50" s="35">
        <f>(BZ50/BZ41)</f>
        <v>0.84320557491289194</v>
      </c>
      <c r="CC50" s="34">
        <v>489</v>
      </c>
      <c r="CD50" s="35">
        <f>(CC50/CC41)</f>
        <v>0.83732876712328763</v>
      </c>
      <c r="CF50" s="34">
        <v>491</v>
      </c>
      <c r="CG50" s="35">
        <f>(CF50/CF41)</f>
        <v>0.8238255033557047</v>
      </c>
      <c r="CI50" s="34">
        <v>504</v>
      </c>
      <c r="CJ50" s="35">
        <f>CI50/CI41</f>
        <v>0.83443708609271527</v>
      </c>
      <c r="CL50" s="34">
        <v>482</v>
      </c>
      <c r="CM50" s="35">
        <f t="shared" si="47"/>
        <v>0.83680555555555558</v>
      </c>
      <c r="CO50" s="86">
        <v>490</v>
      </c>
      <c r="CP50" s="35">
        <f t="shared" si="44"/>
        <v>0.81530782029950088</v>
      </c>
      <c r="CR50" s="34">
        <v>472</v>
      </c>
      <c r="CS50" s="35">
        <f t="shared" si="45"/>
        <v>0.81519861830742657</v>
      </c>
      <c r="CU50" s="34">
        <v>472</v>
      </c>
      <c r="CV50" s="35">
        <f t="shared" si="48"/>
        <v>0.82373472949389182</v>
      </c>
      <c r="CX50" s="34">
        <v>468</v>
      </c>
      <c r="CY50" s="35">
        <f t="shared" si="46"/>
        <v>0.81675392670157065</v>
      </c>
      <c r="CZ50" s="34"/>
      <c r="DA50" s="34">
        <v>490</v>
      </c>
      <c r="DB50" s="35">
        <f t="shared" si="49"/>
        <v>0.8085808580858086</v>
      </c>
      <c r="DC50" s="34"/>
      <c r="DD50" s="34">
        <v>502</v>
      </c>
      <c r="DE50" s="35">
        <f t="shared" si="50"/>
        <v>0.82838283828382842</v>
      </c>
      <c r="DF50" s="34"/>
      <c r="DG50" s="34">
        <v>498</v>
      </c>
      <c r="DH50" s="35">
        <f t="shared" si="51"/>
        <v>0.82178217821782173</v>
      </c>
    </row>
    <row r="51" spans="1:112" s="33" customFormat="1" ht="10.15" customHeight="1">
      <c r="B51" s="129" t="s">
        <v>58</v>
      </c>
      <c r="C51" s="129"/>
      <c r="D51" s="129"/>
      <c r="E51" s="129"/>
      <c r="F51" s="41"/>
      <c r="G51" s="38"/>
      <c r="H51" s="41"/>
      <c r="I51" s="41"/>
      <c r="J51" s="38"/>
      <c r="K51" s="39"/>
      <c r="L51" s="41"/>
      <c r="M51" s="38"/>
      <c r="N51" s="40"/>
      <c r="O51" s="41"/>
      <c r="P51" s="38"/>
      <c r="Q51" s="40"/>
      <c r="R51" s="41"/>
      <c r="S51" s="38"/>
      <c r="T51" s="40"/>
      <c r="U51" s="41"/>
      <c r="V51" s="38"/>
      <c r="W51" s="40"/>
      <c r="X51" s="41"/>
      <c r="Y51" s="38"/>
      <c r="Z51" s="40"/>
      <c r="AA51" s="41"/>
      <c r="AB51" s="38"/>
      <c r="AC51" s="40"/>
      <c r="AD51" s="41"/>
      <c r="AE51" s="38"/>
      <c r="AF51" s="40"/>
      <c r="AG51" s="41"/>
      <c r="AH51" s="38"/>
      <c r="AI51" s="40"/>
      <c r="AJ51" s="41"/>
      <c r="AK51" s="38"/>
      <c r="AL51" s="40"/>
      <c r="AM51" s="41"/>
      <c r="AN51" s="38"/>
      <c r="AP51" s="41"/>
      <c r="AQ51" s="38"/>
      <c r="AS51" s="41"/>
      <c r="AT51" s="38"/>
      <c r="AV51" s="41"/>
      <c r="AW51" s="38"/>
      <c r="AY51" s="41"/>
      <c r="AZ51" s="38"/>
      <c r="BB51" s="41"/>
      <c r="BC51" s="38"/>
      <c r="BE51" s="41"/>
      <c r="BF51" s="38"/>
      <c r="BH51" s="41"/>
      <c r="BI51" s="38"/>
      <c r="BK51" s="41"/>
      <c r="BL51" s="38"/>
      <c r="BN51" s="41"/>
      <c r="BO51" s="38"/>
      <c r="BQ51" s="41"/>
      <c r="BR51" s="38"/>
      <c r="BT51" s="41"/>
      <c r="BU51" s="38"/>
      <c r="BW51" s="41"/>
      <c r="BX51" s="38"/>
      <c r="BZ51" s="41"/>
      <c r="CA51" s="38"/>
      <c r="CC51" s="91" t="s">
        <v>59</v>
      </c>
      <c r="CD51" s="91" t="s">
        <v>60</v>
      </c>
      <c r="CF51" s="91" t="s">
        <v>59</v>
      </c>
      <c r="CG51" s="91" t="s">
        <v>61</v>
      </c>
      <c r="CI51" s="91" t="s">
        <v>59</v>
      </c>
      <c r="CJ51" s="91" t="s">
        <v>62</v>
      </c>
      <c r="CL51" s="91" t="s">
        <v>59</v>
      </c>
      <c r="CM51" s="91" t="s">
        <v>63</v>
      </c>
      <c r="CO51" s="87">
        <v>2</v>
      </c>
      <c r="CP51" s="38">
        <f t="shared" si="44"/>
        <v>3.3277870216306157E-3</v>
      </c>
      <c r="CR51" s="41">
        <v>0</v>
      </c>
      <c r="CS51" s="38">
        <f t="shared" si="45"/>
        <v>0</v>
      </c>
      <c r="CU51" s="41">
        <v>0</v>
      </c>
      <c r="CV51" s="38">
        <f t="shared" si="48"/>
        <v>0</v>
      </c>
      <c r="CX51" s="41">
        <v>0</v>
      </c>
      <c r="CY51" s="38">
        <f t="shared" si="46"/>
        <v>0</v>
      </c>
      <c r="CZ51" s="41"/>
      <c r="DA51" s="41">
        <v>0</v>
      </c>
      <c r="DB51" s="35">
        <f t="shared" si="49"/>
        <v>0</v>
      </c>
      <c r="DC51" s="41"/>
      <c r="DD51" s="41">
        <v>0</v>
      </c>
      <c r="DE51" s="35">
        <f t="shared" si="50"/>
        <v>0</v>
      </c>
      <c r="DF51" s="41"/>
      <c r="DG51" s="41">
        <v>0</v>
      </c>
      <c r="DH51" s="35">
        <f t="shared" si="51"/>
        <v>0</v>
      </c>
    </row>
    <row r="52" spans="1:112" s="44" customFormat="1" ht="15" customHeight="1">
      <c r="A52" s="121" t="s">
        <v>4</v>
      </c>
      <c r="B52" s="121"/>
      <c r="C52" s="121"/>
      <c r="D52" s="121"/>
      <c r="E52" s="121"/>
      <c r="F52" s="51">
        <f>SUM(F60:F61)</f>
        <v>1903</v>
      </c>
      <c r="G52" s="52"/>
      <c r="H52" s="51"/>
      <c r="I52" s="51">
        <f>SUM(I60:I61)</f>
        <v>1785</v>
      </c>
      <c r="J52" s="52"/>
      <c r="K52" s="53"/>
      <c r="L52" s="51">
        <f>SUM(L60:L61)</f>
        <v>1759</v>
      </c>
      <c r="M52" s="52"/>
      <c r="N52" s="54"/>
      <c r="O52" s="51">
        <f>SUM(O60:O61)</f>
        <v>1762</v>
      </c>
      <c r="P52" s="52"/>
      <c r="Q52" s="54"/>
      <c r="R52" s="51">
        <f>SUM(R60:R61)</f>
        <v>1759</v>
      </c>
      <c r="S52" s="52"/>
      <c r="T52" s="54"/>
      <c r="U52" s="51">
        <f>SUM(U60:U61)</f>
        <v>1781</v>
      </c>
      <c r="V52" s="52"/>
      <c r="W52" s="54"/>
      <c r="X52" s="51">
        <f>SUM(X60:X61)</f>
        <v>1786</v>
      </c>
      <c r="Y52" s="52"/>
      <c r="Z52" s="54"/>
      <c r="AA52" s="51">
        <f>SUM(AA60:AA61)</f>
        <v>1749</v>
      </c>
      <c r="AB52" s="52"/>
      <c r="AC52" s="54"/>
      <c r="AD52" s="51">
        <f>SUM(AD60:AD61)</f>
        <v>1797</v>
      </c>
      <c r="AE52" s="52"/>
      <c r="AF52" s="54"/>
      <c r="AG52" s="51">
        <f>SUM(AG60:AG61)</f>
        <v>1781</v>
      </c>
      <c r="AH52" s="52"/>
      <c r="AI52" s="54"/>
      <c r="AJ52" s="51">
        <f>SUM(AJ60:AJ61)</f>
        <v>1779</v>
      </c>
      <c r="AK52" s="52"/>
      <c r="AL52" s="54"/>
      <c r="AM52" s="51">
        <f>SUM(AM60:AM61)</f>
        <v>1757</v>
      </c>
      <c r="AN52" s="52"/>
      <c r="AO52" s="55"/>
      <c r="AP52" s="51">
        <f>SUM(AP60:AP61)</f>
        <v>1720</v>
      </c>
      <c r="AQ52" s="52"/>
      <c r="AR52" s="55"/>
      <c r="AS52" s="51">
        <f>SUM(AS60:AS61)</f>
        <v>1751</v>
      </c>
      <c r="AT52" s="52"/>
      <c r="AU52" s="55"/>
      <c r="AV52" s="51">
        <f>SUM(AV60:AV61)</f>
        <v>1707</v>
      </c>
      <c r="AW52" s="52"/>
      <c r="AX52" s="55"/>
      <c r="AY52" s="51">
        <f>SUM(AY60:AY61)</f>
        <v>1734</v>
      </c>
      <c r="AZ52" s="52"/>
      <c r="BA52" s="55"/>
      <c r="BB52" s="51">
        <f>SUM(BB60:BB61)</f>
        <v>1709</v>
      </c>
      <c r="BC52" s="52"/>
      <c r="BD52" s="55"/>
      <c r="BE52" s="51">
        <f>SUM(BE60:BE61)</f>
        <v>1676</v>
      </c>
      <c r="BF52" s="52"/>
      <c r="BG52" s="55"/>
      <c r="BH52" s="51">
        <f>SUM(BH60:BH61)</f>
        <v>1723</v>
      </c>
      <c r="BI52" s="52"/>
      <c r="BJ52" s="55"/>
      <c r="BK52" s="51">
        <f>SUM(BK60:BK61)</f>
        <v>1746</v>
      </c>
      <c r="BL52" s="52"/>
      <c r="BM52" s="55"/>
      <c r="BN52" s="51">
        <f>SUM(BN60:BN61)</f>
        <v>1740</v>
      </c>
      <c r="BO52" s="52"/>
      <c r="BP52" s="55"/>
      <c r="BQ52" s="51">
        <f>SUM(BQ60:BQ61)</f>
        <v>1766</v>
      </c>
      <c r="BR52" s="52"/>
      <c r="BS52" s="55"/>
      <c r="BT52" s="51">
        <f>SUM(BT60:BT61)</f>
        <v>1845</v>
      </c>
      <c r="BU52" s="52"/>
      <c r="BV52" s="55"/>
      <c r="BW52" s="61">
        <f>SUM(BW60:BW61)</f>
        <v>1869</v>
      </c>
      <c r="BX52" s="62"/>
      <c r="BY52" s="60"/>
      <c r="BZ52" s="61">
        <f>SUM(BZ60:BZ61)</f>
        <v>1892</v>
      </c>
      <c r="CA52" s="62"/>
      <c r="CB52" s="60"/>
      <c r="CC52" s="61">
        <f>SUM(CC60:CC61)</f>
        <v>1973</v>
      </c>
      <c r="CD52" s="62"/>
      <c r="CE52" s="60"/>
      <c r="CF52" s="61">
        <f>SUM(CF60:CF61)</f>
        <v>1969</v>
      </c>
      <c r="CG52" s="62"/>
      <c r="CH52" s="60"/>
      <c r="CI52" s="61">
        <f>SUM(CI61,CI53:CI58)</f>
        <v>1966</v>
      </c>
      <c r="CJ52" s="52"/>
      <c r="CK52" s="60"/>
      <c r="CL52" s="61">
        <f t="shared" ref="CL52:CL58" si="52">CL41+CL30</f>
        <v>1933</v>
      </c>
      <c r="CM52" s="52"/>
      <c r="CN52" s="60"/>
      <c r="CO52" s="82">
        <f t="shared" ref="CO52:CO58" si="53">CO41+CO30</f>
        <v>1910</v>
      </c>
      <c r="CP52" s="52"/>
      <c r="CQ52" s="60"/>
      <c r="CR52" s="61">
        <f>CR41+CR30</f>
        <v>1858</v>
      </c>
      <c r="CS52" s="52"/>
      <c r="CT52" s="60"/>
      <c r="CU52" s="61">
        <f>CU41+CU30</f>
        <v>1799</v>
      </c>
      <c r="CV52" s="52"/>
      <c r="CW52" s="60"/>
      <c r="CX52" s="61">
        <f>CX41+CX30</f>
        <v>1749</v>
      </c>
      <c r="CY52" s="52"/>
      <c r="CZ52" s="61"/>
      <c r="DA52" s="61">
        <f>DA41+DA30</f>
        <v>1746</v>
      </c>
      <c r="DB52" s="52"/>
      <c r="DC52" s="61"/>
      <c r="DD52" s="61">
        <f>DD41+DD30</f>
        <v>1746</v>
      </c>
      <c r="DE52" s="52"/>
      <c r="DF52" s="61"/>
      <c r="DG52" s="61">
        <f>DG41+DG30</f>
        <v>1746</v>
      </c>
      <c r="DH52" s="52"/>
    </row>
    <row r="53" spans="1:112" s="27" customFormat="1" ht="10.15" customHeight="1">
      <c r="A53" s="22"/>
      <c r="B53" s="116" t="s">
        <v>55</v>
      </c>
      <c r="C53" s="116"/>
      <c r="D53" s="116"/>
      <c r="E53" s="116"/>
      <c r="F53" s="23">
        <f>F31+F42</f>
        <v>27</v>
      </c>
      <c r="G53" s="24">
        <f>(F53/F52)</f>
        <v>1.418812401471361E-2</v>
      </c>
      <c r="H53" s="23"/>
      <c r="I53" s="23">
        <f>I31+I42</f>
        <v>26</v>
      </c>
      <c r="J53" s="24">
        <f>(I53/I52)</f>
        <v>1.4565826330532213E-2</v>
      </c>
      <c r="K53" s="25"/>
      <c r="L53" s="23">
        <f>L31+L42</f>
        <v>25</v>
      </c>
      <c r="M53" s="24">
        <f>(L53/L52)</f>
        <v>1.4212620807276862E-2</v>
      </c>
      <c r="N53" s="26"/>
      <c r="O53" s="23">
        <f>O31+O42</f>
        <v>24</v>
      </c>
      <c r="P53" s="24">
        <f>(O53/O52)</f>
        <v>1.362088535754824E-2</v>
      </c>
      <c r="Q53" s="26"/>
      <c r="R53" s="23">
        <f>R31+R42</f>
        <v>23</v>
      </c>
      <c r="S53" s="24">
        <f>(R53/R52)</f>
        <v>1.3075611142694713E-2</v>
      </c>
      <c r="T53" s="26"/>
      <c r="U53" s="23">
        <f>U31+U42</f>
        <v>21</v>
      </c>
      <c r="V53" s="24">
        <f>(U53/U52)</f>
        <v>1.1791128579449747E-2</v>
      </c>
      <c r="W53" s="26"/>
      <c r="X53" s="23">
        <f>X31+X42</f>
        <v>27</v>
      </c>
      <c r="Y53" s="24">
        <f>(X53/X52)</f>
        <v>1.5117581187010079E-2</v>
      </c>
      <c r="Z53" s="26"/>
      <c r="AA53" s="23">
        <f>AA31+AA42</f>
        <v>29</v>
      </c>
      <c r="AB53" s="24">
        <f>(AA53/AA52)</f>
        <v>1.6580903373356205E-2</v>
      </c>
      <c r="AC53" s="26"/>
      <c r="AD53" s="23">
        <f>AD31+AD42</f>
        <v>34</v>
      </c>
      <c r="AE53" s="24">
        <f>(AD53/AD52)</f>
        <v>1.8920422927100722E-2</v>
      </c>
      <c r="AF53" s="26"/>
      <c r="AG53" s="23">
        <f>AG31+AG42</f>
        <v>36</v>
      </c>
      <c r="AH53" s="24">
        <f>(AG53/AG52)</f>
        <v>2.021336327905671E-2</v>
      </c>
      <c r="AI53" s="26"/>
      <c r="AJ53" s="23">
        <f>AJ31+AJ42</f>
        <v>38</v>
      </c>
      <c r="AK53" s="24">
        <f>(AJ53/AJ52)</f>
        <v>2.1360314783586284E-2</v>
      </c>
      <c r="AL53" s="26"/>
      <c r="AM53" s="23">
        <f>AM31+AM42</f>
        <v>41</v>
      </c>
      <c r="AN53" s="24">
        <f>(AM53/AM52)</f>
        <v>2.3335230506545249E-2</v>
      </c>
      <c r="AO53" s="22"/>
      <c r="AP53" s="23">
        <f>AP31+AP42</f>
        <v>34</v>
      </c>
      <c r="AQ53" s="24">
        <f>(AP53/AP52)</f>
        <v>1.9767441860465116E-2</v>
      </c>
      <c r="AR53" s="22"/>
      <c r="AS53" s="23">
        <f>AS31+AS42</f>
        <v>31</v>
      </c>
      <c r="AT53" s="24">
        <f>(AS53/AS52)</f>
        <v>1.770416904625928E-2</v>
      </c>
      <c r="AU53" s="22"/>
      <c r="AV53" s="23">
        <f>AV31+AV42</f>
        <v>32</v>
      </c>
      <c r="AW53" s="24">
        <f>(AV53/AV52)</f>
        <v>1.8746338605741066E-2</v>
      </c>
      <c r="AX53" s="22"/>
      <c r="AY53" s="23">
        <f>AY31+AY42</f>
        <v>32</v>
      </c>
      <c r="AZ53" s="24">
        <f>(AY53/AY52)</f>
        <v>1.845444059976932E-2</v>
      </c>
      <c r="BA53" s="22"/>
      <c r="BB53" s="23">
        <f>BB31+BB42</f>
        <v>32</v>
      </c>
      <c r="BC53" s="24">
        <f>(BB53/BB52)</f>
        <v>1.8724400234055003E-2</v>
      </c>
      <c r="BD53" s="22"/>
      <c r="BE53" s="23">
        <f>BE31+BE42</f>
        <v>33</v>
      </c>
      <c r="BF53" s="24">
        <f>(BE53/BE52)</f>
        <v>1.9689737470167064E-2</v>
      </c>
      <c r="BG53" s="22"/>
      <c r="BH53" s="23">
        <f>BH31+BH42</f>
        <v>33</v>
      </c>
      <c r="BI53" s="24">
        <f>(BH53/BH52)</f>
        <v>1.9152640742890307E-2</v>
      </c>
      <c r="BJ53" s="22"/>
      <c r="BK53" s="23">
        <f t="shared" ref="BK53:BK58" si="54">BK31+BK42</f>
        <v>32</v>
      </c>
      <c r="BL53" s="24">
        <f>(BK53/BK52)</f>
        <v>1.8327605956471937E-2</v>
      </c>
      <c r="BM53" s="22"/>
      <c r="BN53" s="23">
        <f t="shared" ref="BN53:BN58" si="55">BN31+BN42</f>
        <v>32</v>
      </c>
      <c r="BO53" s="24">
        <f>(BN53/BN52)</f>
        <v>1.8390804597701149E-2</v>
      </c>
      <c r="BP53" s="22"/>
      <c r="BQ53" s="23">
        <f t="shared" ref="BQ53:BQ58" si="56">BQ31+BQ42</f>
        <v>35</v>
      </c>
      <c r="BR53" s="24">
        <f>(BQ53/BQ52)</f>
        <v>1.9818799546998868E-2</v>
      </c>
      <c r="BS53" s="22"/>
      <c r="BT53" s="23">
        <f t="shared" ref="BT53:BT58" si="57">BT31+BT42</f>
        <v>39</v>
      </c>
      <c r="BU53" s="24">
        <f>(BT53/BT52)</f>
        <v>2.113821138211382E-2</v>
      </c>
      <c r="BV53" s="22"/>
      <c r="BW53" s="23">
        <f t="shared" ref="BW53:BW58" si="58">BW31+BW42</f>
        <v>39</v>
      </c>
      <c r="BX53" s="24">
        <f>(BW53/BW52)</f>
        <v>2.0866773675762441E-2</v>
      </c>
      <c r="BY53" s="22"/>
      <c r="BZ53" s="23">
        <f t="shared" ref="BZ53:BZ58" si="59">BZ31+BZ42</f>
        <v>43</v>
      </c>
      <c r="CA53" s="24">
        <f>(BZ53/BZ52)</f>
        <v>2.2727272727272728E-2</v>
      </c>
      <c r="CB53" s="22"/>
      <c r="CC53" s="23">
        <f t="shared" ref="CC53:CC58" si="60">CC31+CC42</f>
        <v>46</v>
      </c>
      <c r="CD53" s="24">
        <f>(CC53/CC52)</f>
        <v>2.3314749113025848E-2</v>
      </c>
      <c r="CE53" s="22"/>
      <c r="CF53" s="23">
        <f t="shared" ref="CF53:CF58" si="61">CF31+CF42</f>
        <v>46</v>
      </c>
      <c r="CG53" s="24">
        <f>(CF53/CF52)</f>
        <v>2.3362112747587607E-2</v>
      </c>
      <c r="CH53" s="22"/>
      <c r="CI53" s="23">
        <f t="shared" ref="CI53:CI58" si="62">CI42+CI31</f>
        <v>49</v>
      </c>
      <c r="CJ53" s="24">
        <f>CI53/CI52</f>
        <v>2.4923702950152594E-2</v>
      </c>
      <c r="CK53" s="22"/>
      <c r="CL53" s="23">
        <f t="shared" si="52"/>
        <v>46</v>
      </c>
      <c r="CM53" s="24">
        <f>CL53/1932</f>
        <v>2.3809523809523808E-2</v>
      </c>
      <c r="CN53" s="22"/>
      <c r="CO53" s="83">
        <f t="shared" si="53"/>
        <v>42</v>
      </c>
      <c r="CP53" s="24">
        <f t="shared" ref="CP53:CP61" si="63">CO53/1910</f>
        <v>2.1989528795811519E-2</v>
      </c>
      <c r="CQ53" s="22"/>
      <c r="CR53" s="23">
        <f>CR42+CR31</f>
        <v>45</v>
      </c>
      <c r="CS53" s="24">
        <f t="shared" ref="CS53:CS62" si="64">CR53/$CR$52</f>
        <v>2.4219590958019375E-2</v>
      </c>
      <c r="CT53" s="22"/>
      <c r="CU53" s="23">
        <f>CU42+CU31</f>
        <v>41</v>
      </c>
      <c r="CV53" s="24">
        <f>CU53/$CX$52</f>
        <v>2.3441966838193252E-2</v>
      </c>
      <c r="CW53" s="22"/>
      <c r="CX53" s="23">
        <f>CX42+CX31</f>
        <v>40</v>
      </c>
      <c r="CY53" s="24">
        <f t="shared" ref="CY53:CY62" si="65">CX53/$CX$52</f>
        <v>2.2870211549456832E-2</v>
      </c>
      <c r="CZ53" s="23"/>
      <c r="DA53" s="23">
        <f>DA42+DA31</f>
        <v>37</v>
      </c>
      <c r="DB53" s="24">
        <f>DA53/$DA$52</f>
        <v>2.1191294387170677E-2</v>
      </c>
      <c r="DC53" s="23"/>
      <c r="DD53" s="23">
        <f>DD42+DD31</f>
        <v>38</v>
      </c>
      <c r="DE53" s="24">
        <f>DD53/$DA$52</f>
        <v>2.1764032073310423E-2</v>
      </c>
      <c r="DF53" s="23"/>
      <c r="DG53" s="23">
        <v>20</v>
      </c>
      <c r="DH53" s="24">
        <f>DG53/$DA$52</f>
        <v>1.1454753722794959E-2</v>
      </c>
    </row>
    <row r="54" spans="1:112" s="27" customFormat="1" ht="10.15" customHeight="1">
      <c r="A54" s="22"/>
      <c r="B54" s="116" t="s">
        <v>9</v>
      </c>
      <c r="C54" s="116"/>
      <c r="D54" s="116"/>
      <c r="E54" s="116"/>
      <c r="F54" s="23">
        <f>F32+F43</f>
        <v>2</v>
      </c>
      <c r="G54" s="24">
        <f>(F54/F52)</f>
        <v>1.0509721492380452E-3</v>
      </c>
      <c r="H54" s="23"/>
      <c r="I54" s="23">
        <f>I32+I43</f>
        <v>1</v>
      </c>
      <c r="J54" s="24">
        <f>(I54/I52)</f>
        <v>5.602240896358543E-4</v>
      </c>
      <c r="K54" s="25"/>
      <c r="L54" s="23">
        <f>L32+L43</f>
        <v>2</v>
      </c>
      <c r="M54" s="24">
        <f>(L54/L52)</f>
        <v>1.1370096645821489E-3</v>
      </c>
      <c r="N54" s="26"/>
      <c r="O54" s="23">
        <f>O32+O43</f>
        <v>4</v>
      </c>
      <c r="P54" s="24">
        <f>(O54/O52)</f>
        <v>2.2701475595913734E-3</v>
      </c>
      <c r="Q54" s="26"/>
      <c r="R54" s="23">
        <f>R32+R43</f>
        <v>4</v>
      </c>
      <c r="S54" s="24">
        <f>(R54/R52)</f>
        <v>2.2740193291642978E-3</v>
      </c>
      <c r="T54" s="26"/>
      <c r="U54" s="23">
        <f>U32+U43</f>
        <v>3</v>
      </c>
      <c r="V54" s="24">
        <f>(U54/U52)</f>
        <v>1.6844469399213925E-3</v>
      </c>
      <c r="W54" s="26"/>
      <c r="X54" s="23">
        <f>X32+X43</f>
        <v>4</v>
      </c>
      <c r="Y54" s="24">
        <f>(X54/X52)</f>
        <v>2.2396416573348264E-3</v>
      </c>
      <c r="Z54" s="26"/>
      <c r="AA54" s="23">
        <f>AA32+AA43</f>
        <v>5</v>
      </c>
      <c r="AB54" s="24">
        <f>(AA54/AA52)</f>
        <v>2.858776443682104E-3</v>
      </c>
      <c r="AC54" s="26"/>
      <c r="AD54" s="23">
        <f>AD32+AD43</f>
        <v>8</v>
      </c>
      <c r="AE54" s="24">
        <f>(AD54/AD52)</f>
        <v>4.4518642181413468E-3</v>
      </c>
      <c r="AF54" s="26"/>
      <c r="AG54" s="23">
        <f>AG32+AG43</f>
        <v>8</v>
      </c>
      <c r="AH54" s="24">
        <f>(AG54/AG52)</f>
        <v>4.4918585064570469E-3</v>
      </c>
      <c r="AI54" s="26"/>
      <c r="AJ54" s="23">
        <f>AJ32+AJ43</f>
        <v>10</v>
      </c>
      <c r="AK54" s="24">
        <f>(AJ54/AJ52)</f>
        <v>5.621135469364812E-3</v>
      </c>
      <c r="AL54" s="26"/>
      <c r="AM54" s="23">
        <f>AM32+AM43</f>
        <v>10</v>
      </c>
      <c r="AN54" s="24">
        <f>(AM54/AM52)</f>
        <v>5.6915196357427431E-3</v>
      </c>
      <c r="AO54" s="22"/>
      <c r="AP54" s="23">
        <f>AP32+AP43</f>
        <v>12</v>
      </c>
      <c r="AQ54" s="24">
        <f>(AP54/AP52)</f>
        <v>6.9767441860465115E-3</v>
      </c>
      <c r="AR54" s="22"/>
      <c r="AS54" s="23">
        <f>AS32+AS43</f>
        <v>12</v>
      </c>
      <c r="AT54" s="24">
        <f>(AS54/AS52)</f>
        <v>6.8532267275842372E-3</v>
      </c>
      <c r="AU54" s="22"/>
      <c r="AV54" s="23">
        <f>AV32+AV43</f>
        <v>10</v>
      </c>
      <c r="AW54" s="24">
        <f>(AV54/AV52)</f>
        <v>5.8582308142940834E-3</v>
      </c>
      <c r="AX54" s="22"/>
      <c r="AY54" s="23">
        <f>AY32+AY43</f>
        <v>7</v>
      </c>
      <c r="AZ54" s="24">
        <f>(AY54/AY52)</f>
        <v>4.0369088811995383E-3</v>
      </c>
      <c r="BA54" s="22"/>
      <c r="BB54" s="23">
        <f>BB32+BB43</f>
        <v>10</v>
      </c>
      <c r="BC54" s="24">
        <f>(BB54/BB52)</f>
        <v>5.8513750731421883E-3</v>
      </c>
      <c r="BD54" s="22"/>
      <c r="BE54" s="23">
        <f>BE32+BE43</f>
        <v>9</v>
      </c>
      <c r="BF54" s="24">
        <f>(BE54/BE52)</f>
        <v>5.3699284009546535E-3</v>
      </c>
      <c r="BG54" s="22"/>
      <c r="BH54" s="23">
        <f>BH32+BH43</f>
        <v>8</v>
      </c>
      <c r="BI54" s="24">
        <f>(BH54/BH52)</f>
        <v>4.6430644225188625E-3</v>
      </c>
      <c r="BJ54" s="22"/>
      <c r="BK54" s="23">
        <f t="shared" si="54"/>
        <v>7</v>
      </c>
      <c r="BL54" s="24">
        <f>(BK54/BK52)</f>
        <v>4.0091638029782356E-3</v>
      </c>
      <c r="BM54" s="22"/>
      <c r="BN54" s="23">
        <f t="shared" si="55"/>
        <v>6</v>
      </c>
      <c r="BO54" s="24">
        <f>(BN54/BN52)</f>
        <v>3.4482758620689655E-3</v>
      </c>
      <c r="BP54" s="22"/>
      <c r="BQ54" s="23">
        <f t="shared" si="56"/>
        <v>6</v>
      </c>
      <c r="BR54" s="24">
        <f>(BQ54/BQ52)</f>
        <v>3.3975084937712344E-3</v>
      </c>
      <c r="BS54" s="22"/>
      <c r="BT54" s="23">
        <f t="shared" si="57"/>
        <v>7</v>
      </c>
      <c r="BU54" s="24">
        <f>(BT54/BT52)</f>
        <v>3.7940379403794038E-3</v>
      </c>
      <c r="BV54" s="22"/>
      <c r="BW54" s="23">
        <f t="shared" si="58"/>
        <v>6</v>
      </c>
      <c r="BX54" s="24">
        <f>(BW54/BW52)</f>
        <v>3.2102728731942215E-3</v>
      </c>
      <c r="BY54" s="22"/>
      <c r="BZ54" s="23">
        <f t="shared" si="59"/>
        <v>6</v>
      </c>
      <c r="CA54" s="24">
        <f>(BZ54/BZ52)</f>
        <v>3.1712473572938688E-3</v>
      </c>
      <c r="CB54" s="22"/>
      <c r="CC54" s="23">
        <f t="shared" si="60"/>
        <v>4</v>
      </c>
      <c r="CD54" s="24">
        <f>(CC54/CC52)</f>
        <v>2.0273694880892043E-3</v>
      </c>
      <c r="CE54" s="22"/>
      <c r="CF54" s="23">
        <f t="shared" si="61"/>
        <v>4</v>
      </c>
      <c r="CG54" s="24">
        <f>(CF54/CF52)</f>
        <v>2.0314880650076179E-3</v>
      </c>
      <c r="CH54" s="22"/>
      <c r="CI54" s="23">
        <f t="shared" si="62"/>
        <v>4</v>
      </c>
      <c r="CJ54" s="24">
        <f>CI54/CI52</f>
        <v>2.0345879959308239E-3</v>
      </c>
      <c r="CK54" s="22"/>
      <c r="CL54" s="23">
        <f t="shared" si="52"/>
        <v>4</v>
      </c>
      <c r="CM54" s="24">
        <f t="shared" ref="CM54:CM61" si="66">CL54/1932</f>
        <v>2.070393374741201E-3</v>
      </c>
      <c r="CN54" s="22"/>
      <c r="CO54" s="83">
        <f t="shared" si="53"/>
        <v>3</v>
      </c>
      <c r="CP54" s="24">
        <f t="shared" si="63"/>
        <v>1.5706806282722514E-3</v>
      </c>
      <c r="CQ54" s="22"/>
      <c r="CR54" s="23">
        <f t="shared" ref="CR54:CR62" si="67">CR43+CR32</f>
        <v>4</v>
      </c>
      <c r="CS54" s="24">
        <f t="shared" si="64"/>
        <v>2.1528525296017221E-3</v>
      </c>
      <c r="CT54" s="22"/>
      <c r="CU54" s="23">
        <f t="shared" ref="CU54:CU62" si="68">CU43+CU32</f>
        <v>4</v>
      </c>
      <c r="CV54" s="24">
        <f t="shared" ref="CV54:CV62" si="69">CU54/$CX$52</f>
        <v>2.2870211549456832E-3</v>
      </c>
      <c r="CW54" s="22"/>
      <c r="CX54" s="23">
        <f t="shared" ref="CX54:CX62" si="70">CX43+CX32</f>
        <v>4</v>
      </c>
      <c r="CY54" s="24">
        <f t="shared" si="65"/>
        <v>2.2870211549456832E-3</v>
      </c>
      <c r="CZ54" s="23"/>
      <c r="DA54" s="23">
        <f t="shared" ref="DA54:DA62" si="71">DA43+DA32</f>
        <v>4</v>
      </c>
      <c r="DB54" s="24">
        <f t="shared" ref="DB54:DB62" si="72">DA54/$DA$52</f>
        <v>2.2909507445589921E-3</v>
      </c>
      <c r="DC54" s="23"/>
      <c r="DD54" s="23">
        <f t="shared" ref="DD54:DD62" si="73">DD43+DD32</f>
        <v>4</v>
      </c>
      <c r="DE54" s="24">
        <f t="shared" ref="DE54:DE62" si="74">DD54/$DA$52</f>
        <v>2.2909507445589921E-3</v>
      </c>
      <c r="DF54" s="23"/>
      <c r="DG54" s="23">
        <f t="shared" ref="DG54:DG62" si="75">DG43+DG32</f>
        <v>4</v>
      </c>
      <c r="DH54" s="24">
        <f t="shared" ref="DH54:DH62" si="76">DG54/$DA$52</f>
        <v>2.2909507445589921E-3</v>
      </c>
    </row>
    <row r="55" spans="1:112" s="27" customFormat="1" ht="10.15" customHeight="1">
      <c r="A55" s="22"/>
      <c r="B55" s="116" t="s">
        <v>32</v>
      </c>
      <c r="C55" s="116"/>
      <c r="D55" s="116"/>
      <c r="E55" s="116"/>
      <c r="F55" s="23">
        <f>F33+F44</f>
        <v>112</v>
      </c>
      <c r="G55" s="24">
        <f>(F55/F52)</f>
        <v>5.8854440357330534E-2</v>
      </c>
      <c r="H55" s="23"/>
      <c r="I55" s="23">
        <f>I33+I44</f>
        <v>114</v>
      </c>
      <c r="J55" s="24">
        <f>(I55/I52)</f>
        <v>6.386554621848739E-2</v>
      </c>
      <c r="K55" s="25"/>
      <c r="L55" s="23">
        <f>L33+L44</f>
        <v>113</v>
      </c>
      <c r="M55" s="24">
        <f>(L55/L52)</f>
        <v>6.4241046048891415E-2</v>
      </c>
      <c r="N55" s="26"/>
      <c r="O55" s="23">
        <f>O33+O44</f>
        <v>115</v>
      </c>
      <c r="P55" s="24">
        <f>(O55/O52)</f>
        <v>6.5266742338251985E-2</v>
      </c>
      <c r="Q55" s="26"/>
      <c r="R55" s="23">
        <f>R33+R44</f>
        <v>114</v>
      </c>
      <c r="S55" s="24">
        <f>(R55/R52)</f>
        <v>6.4809550881182496E-2</v>
      </c>
      <c r="T55" s="26"/>
      <c r="U55" s="23">
        <f>U33+U44</f>
        <v>112</v>
      </c>
      <c r="V55" s="24">
        <f>(U55/U52)</f>
        <v>6.2886019090398648E-2</v>
      </c>
      <c r="W55" s="26"/>
      <c r="X55" s="23">
        <f>X33+X44</f>
        <v>121</v>
      </c>
      <c r="Y55" s="24">
        <f>(X55/X52)</f>
        <v>6.7749160134378497E-2</v>
      </c>
      <c r="Z55" s="26"/>
      <c r="AA55" s="23">
        <f>AA33+AA44</f>
        <v>123</v>
      </c>
      <c r="AB55" s="24">
        <f>(AA55/AA52)</f>
        <v>7.0325900514579764E-2</v>
      </c>
      <c r="AC55" s="26"/>
      <c r="AD55" s="23">
        <f>AD33+AD44</f>
        <v>134</v>
      </c>
      <c r="AE55" s="24">
        <f>(AD55/AD52)</f>
        <v>7.456872565386756E-2</v>
      </c>
      <c r="AF55" s="26"/>
      <c r="AG55" s="23">
        <f>AG33+AG44</f>
        <v>149</v>
      </c>
      <c r="AH55" s="24">
        <f>(AG55/AG52)</f>
        <v>8.3660864682762487E-2</v>
      </c>
      <c r="AI55" s="26"/>
      <c r="AJ55" s="23">
        <f>AJ33+AJ44</f>
        <v>155</v>
      </c>
      <c r="AK55" s="24">
        <f>(AJ55/AJ52)</f>
        <v>8.7127599775154579E-2</v>
      </c>
      <c r="AL55" s="26"/>
      <c r="AM55" s="23">
        <f>AM33+AM44</f>
        <v>159</v>
      </c>
      <c r="AN55" s="24">
        <f>(AM55/AM52)</f>
        <v>9.0495162208309624E-2</v>
      </c>
      <c r="AO55" s="22"/>
      <c r="AP55" s="23">
        <f>AP33+AP44</f>
        <v>169</v>
      </c>
      <c r="AQ55" s="24">
        <f>(AP55/AP52)</f>
        <v>9.8255813953488369E-2</v>
      </c>
      <c r="AR55" s="22"/>
      <c r="AS55" s="23">
        <f>AS33+AS44</f>
        <v>186</v>
      </c>
      <c r="AT55" s="24">
        <f>(AS55/AS52)</f>
        <v>0.10622501427755568</v>
      </c>
      <c r="AU55" s="22"/>
      <c r="AV55" s="23">
        <f>AV33+AV44</f>
        <v>190</v>
      </c>
      <c r="AW55" s="24">
        <f>(AV55/AV52)</f>
        <v>0.11130638547158758</v>
      </c>
      <c r="AX55" s="22"/>
      <c r="AY55" s="23">
        <f>AY33+AY44</f>
        <v>198</v>
      </c>
      <c r="AZ55" s="24">
        <f>(AY55/AY52)</f>
        <v>0.11418685121107267</v>
      </c>
      <c r="BA55" s="22"/>
      <c r="BB55" s="23">
        <f>BB33+BB44</f>
        <v>216</v>
      </c>
      <c r="BC55" s="24">
        <f>(BB55/BB52)</f>
        <v>0.12638970157987128</v>
      </c>
      <c r="BD55" s="22"/>
      <c r="BE55" s="23">
        <f>BE33+BE44</f>
        <v>228</v>
      </c>
      <c r="BF55" s="24">
        <f>(BE55/BE52)</f>
        <v>0.13603818615751789</v>
      </c>
      <c r="BG55" s="22"/>
      <c r="BH55" s="23">
        <f>BH33+BH44</f>
        <v>244</v>
      </c>
      <c r="BI55" s="24">
        <f>(BH55/BH52)</f>
        <v>0.1416134648868253</v>
      </c>
      <c r="BJ55" s="22"/>
      <c r="BK55" s="23">
        <f t="shared" si="54"/>
        <v>247</v>
      </c>
      <c r="BL55" s="24">
        <f>(BK55/BK52)</f>
        <v>0.14146620847651775</v>
      </c>
      <c r="BM55" s="22"/>
      <c r="BN55" s="23">
        <f t="shared" si="55"/>
        <v>234</v>
      </c>
      <c r="BO55" s="24">
        <f>(BN55/BN52)</f>
        <v>0.13448275862068965</v>
      </c>
      <c r="BP55" s="22"/>
      <c r="BQ55" s="23">
        <f t="shared" si="56"/>
        <v>255</v>
      </c>
      <c r="BR55" s="24">
        <f>(BQ55/BQ52)</f>
        <v>0.14439411098527746</v>
      </c>
      <c r="BS55" s="22"/>
      <c r="BT55" s="23">
        <f t="shared" si="57"/>
        <v>266</v>
      </c>
      <c r="BU55" s="24">
        <f>(BT55/BT52)</f>
        <v>0.14417344173441735</v>
      </c>
      <c r="BV55" s="22"/>
      <c r="BW55" s="23">
        <f t="shared" si="58"/>
        <v>276</v>
      </c>
      <c r="BX55" s="24">
        <f>(BW55/BW52)</f>
        <v>0.1476725521669342</v>
      </c>
      <c r="BY55" s="22"/>
      <c r="BZ55" s="23">
        <f t="shared" si="59"/>
        <v>297</v>
      </c>
      <c r="CA55" s="24">
        <f>(BZ55/BZ52)</f>
        <v>0.15697674418604651</v>
      </c>
      <c r="CB55" s="22"/>
      <c r="CC55" s="23">
        <f t="shared" si="60"/>
        <v>320</v>
      </c>
      <c r="CD55" s="24">
        <f>(CC55/CC52)</f>
        <v>0.16218955904713633</v>
      </c>
      <c r="CE55" s="22"/>
      <c r="CF55" s="23">
        <f t="shared" si="61"/>
        <v>323</v>
      </c>
      <c r="CG55" s="24">
        <f>(CF55/CF52)</f>
        <v>0.16404266124936517</v>
      </c>
      <c r="CH55" s="22"/>
      <c r="CI55" s="23">
        <f t="shared" si="62"/>
        <v>327</v>
      </c>
      <c r="CJ55" s="24">
        <f>CI55/CI52</f>
        <v>0.16632756866734486</v>
      </c>
      <c r="CK55" s="22"/>
      <c r="CL55" s="23">
        <f t="shared" si="52"/>
        <v>328</v>
      </c>
      <c r="CM55" s="24">
        <f t="shared" si="66"/>
        <v>0.16977225672877846</v>
      </c>
      <c r="CN55" s="22"/>
      <c r="CO55" s="83">
        <f t="shared" si="53"/>
        <v>284</v>
      </c>
      <c r="CP55" s="24">
        <f t="shared" si="63"/>
        <v>0.1486910994764398</v>
      </c>
      <c r="CQ55" s="22"/>
      <c r="CR55" s="23">
        <f>CR44+CR33</f>
        <v>282</v>
      </c>
      <c r="CS55" s="24">
        <f t="shared" si="64"/>
        <v>0.15177610333692143</v>
      </c>
      <c r="CT55" s="22"/>
      <c r="CU55" s="23">
        <f>CU44+CU33</f>
        <v>278</v>
      </c>
      <c r="CV55" s="24">
        <f t="shared" si="69"/>
        <v>0.15894797026872498</v>
      </c>
      <c r="CW55" s="22"/>
      <c r="CX55" s="23">
        <f>CX44+CX33</f>
        <v>277</v>
      </c>
      <c r="CY55" s="24">
        <f t="shared" si="65"/>
        <v>0.15837621497998858</v>
      </c>
      <c r="CZ55" s="23"/>
      <c r="DA55" s="23">
        <f>DA44+DA33</f>
        <v>291</v>
      </c>
      <c r="DB55" s="24">
        <f t="shared" si="72"/>
        <v>0.16666666666666666</v>
      </c>
      <c r="DC55" s="23"/>
      <c r="DD55" s="23">
        <f>DD44+DD33</f>
        <v>292</v>
      </c>
      <c r="DE55" s="24">
        <f t="shared" si="74"/>
        <v>0.1672394043528064</v>
      </c>
      <c r="DF55" s="23"/>
      <c r="DG55" s="23">
        <f>DG44+DG33</f>
        <v>288</v>
      </c>
      <c r="DH55" s="24">
        <f t="shared" si="76"/>
        <v>0.16494845360824742</v>
      </c>
    </row>
    <row r="56" spans="1:112" s="27" customFormat="1" ht="10.15" customHeight="1">
      <c r="A56" s="22"/>
      <c r="B56" s="116" t="s">
        <v>10</v>
      </c>
      <c r="C56" s="116"/>
      <c r="D56" s="116"/>
      <c r="E56" s="116"/>
      <c r="F56" s="23">
        <f>F34+F45</f>
        <v>23</v>
      </c>
      <c r="G56" s="24">
        <f>(F56/F52)</f>
        <v>1.208617971623752E-2</v>
      </c>
      <c r="H56" s="23"/>
      <c r="I56" s="23">
        <f>I34+I45</f>
        <v>18</v>
      </c>
      <c r="J56" s="24">
        <f>(I56/I52)</f>
        <v>1.0084033613445379E-2</v>
      </c>
      <c r="K56" s="25"/>
      <c r="L56" s="23">
        <f>L34+L45</f>
        <v>19</v>
      </c>
      <c r="M56" s="24">
        <f>(L56/L52)</f>
        <v>1.0801591813530414E-2</v>
      </c>
      <c r="N56" s="26"/>
      <c r="O56" s="23">
        <f>O34+O45</f>
        <v>25</v>
      </c>
      <c r="P56" s="24">
        <f>(O56/O52)</f>
        <v>1.4188422247446084E-2</v>
      </c>
      <c r="Q56" s="26"/>
      <c r="R56" s="23">
        <f>R34+R45</f>
        <v>33</v>
      </c>
      <c r="S56" s="24">
        <f>(R56/R52)</f>
        <v>1.8760659465605456E-2</v>
      </c>
      <c r="T56" s="26"/>
      <c r="U56" s="23">
        <f>U34+U45</f>
        <v>30</v>
      </c>
      <c r="V56" s="24">
        <f>(U56/U52)</f>
        <v>1.6844469399213923E-2</v>
      </c>
      <c r="W56" s="26"/>
      <c r="X56" s="23">
        <f>X34+X45</f>
        <v>28</v>
      </c>
      <c r="Y56" s="24">
        <f>(X56/X52)</f>
        <v>1.5677491601343786E-2</v>
      </c>
      <c r="Z56" s="26"/>
      <c r="AA56" s="23">
        <f>AA34+AA45</f>
        <v>30</v>
      </c>
      <c r="AB56" s="24">
        <f>(AA56/AA52)</f>
        <v>1.7152658662092625E-2</v>
      </c>
      <c r="AC56" s="26"/>
      <c r="AD56" s="23">
        <f>AD34+AD45</f>
        <v>32</v>
      </c>
      <c r="AE56" s="24">
        <f>(AD56/AD52)</f>
        <v>1.7807456872565387E-2</v>
      </c>
      <c r="AF56" s="26"/>
      <c r="AG56" s="23">
        <f>AG34+AG45</f>
        <v>30</v>
      </c>
      <c r="AH56" s="24">
        <f>(AG56/AG52)</f>
        <v>1.6844469399213923E-2</v>
      </c>
      <c r="AI56" s="26"/>
      <c r="AJ56" s="23">
        <f>AJ34+AJ45</f>
        <v>36</v>
      </c>
      <c r="AK56" s="24">
        <f>(AJ56/AJ52)</f>
        <v>2.0236087689713321E-2</v>
      </c>
      <c r="AL56" s="26"/>
      <c r="AM56" s="23">
        <f>AM34+AM45</f>
        <v>32</v>
      </c>
      <c r="AN56" s="24">
        <f>(AM56/AM52)</f>
        <v>1.8212862834376779E-2</v>
      </c>
      <c r="AO56" s="22"/>
      <c r="AP56" s="23">
        <f>AP34+AP45</f>
        <v>33</v>
      </c>
      <c r="AQ56" s="24">
        <f>(AP56/AP52)</f>
        <v>1.9186046511627908E-2</v>
      </c>
      <c r="AR56" s="22"/>
      <c r="AS56" s="23">
        <f>AS34+AS45</f>
        <v>38</v>
      </c>
      <c r="AT56" s="24">
        <f>(AS56/AS52)</f>
        <v>2.1701884637350087E-2</v>
      </c>
      <c r="AU56" s="22"/>
      <c r="AV56" s="23">
        <f>AV34+AV45</f>
        <v>37</v>
      </c>
      <c r="AW56" s="24">
        <f>(AV56/AV52)</f>
        <v>2.1675454012888107E-2</v>
      </c>
      <c r="AX56" s="22"/>
      <c r="AY56" s="23">
        <f>AY34+AY45</f>
        <v>37</v>
      </c>
      <c r="AZ56" s="24">
        <f>(AY56/AY52)</f>
        <v>2.1337946943483274E-2</v>
      </c>
      <c r="BA56" s="22"/>
      <c r="BB56" s="23">
        <f>BB34+BB45</f>
        <v>40</v>
      </c>
      <c r="BC56" s="24">
        <f>(BB56/BB52)</f>
        <v>2.3405500292568753E-2</v>
      </c>
      <c r="BD56" s="22"/>
      <c r="BE56" s="23">
        <f>BE34+BE45</f>
        <v>38</v>
      </c>
      <c r="BF56" s="24">
        <f>(BE56/BE52)</f>
        <v>2.2673031026252982E-2</v>
      </c>
      <c r="BG56" s="22"/>
      <c r="BH56" s="23">
        <f>BH34+BH45</f>
        <v>33</v>
      </c>
      <c r="BI56" s="24">
        <f>(BH56/BH52)</f>
        <v>1.9152640742890307E-2</v>
      </c>
      <c r="BJ56" s="22"/>
      <c r="BK56" s="23">
        <f t="shared" si="54"/>
        <v>41</v>
      </c>
      <c r="BL56" s="24">
        <f>(BK56/BK52)</f>
        <v>2.3482245131729668E-2</v>
      </c>
      <c r="BM56" s="22"/>
      <c r="BN56" s="23">
        <f t="shared" si="55"/>
        <v>43</v>
      </c>
      <c r="BO56" s="24">
        <f>(BN56/BN52)</f>
        <v>2.4712643678160919E-2</v>
      </c>
      <c r="BP56" s="22"/>
      <c r="BQ56" s="23">
        <f t="shared" si="56"/>
        <v>47</v>
      </c>
      <c r="BR56" s="24">
        <f>(BQ56/BQ52)</f>
        <v>2.6613816534541337E-2</v>
      </c>
      <c r="BS56" s="22"/>
      <c r="BT56" s="23">
        <f t="shared" si="57"/>
        <v>53</v>
      </c>
      <c r="BU56" s="24">
        <f>(BT56/BT52)</f>
        <v>2.872628726287263E-2</v>
      </c>
      <c r="BV56" s="22"/>
      <c r="BW56" s="23">
        <f t="shared" si="58"/>
        <v>52</v>
      </c>
      <c r="BX56" s="24">
        <f>(BW56/BW52)</f>
        <v>2.7822364901016586E-2</v>
      </c>
      <c r="BY56" s="22"/>
      <c r="BZ56" s="23">
        <f t="shared" si="59"/>
        <v>58</v>
      </c>
      <c r="CA56" s="24">
        <f>(BZ56/BZ52)</f>
        <v>3.06553911205074E-2</v>
      </c>
      <c r="CB56" s="22"/>
      <c r="CC56" s="23">
        <f t="shared" si="60"/>
        <v>67</v>
      </c>
      <c r="CD56" s="24">
        <f>(CC56/CC52)</f>
        <v>3.3958438925494168E-2</v>
      </c>
      <c r="CE56" s="22"/>
      <c r="CF56" s="23">
        <f t="shared" si="61"/>
        <v>71</v>
      </c>
      <c r="CG56" s="24">
        <f>(CF56/CF52)</f>
        <v>3.6058913153885222E-2</v>
      </c>
      <c r="CH56" s="22"/>
      <c r="CI56" s="23">
        <f t="shared" si="62"/>
        <v>78</v>
      </c>
      <c r="CJ56" s="24">
        <f>CI56/CI52</f>
        <v>3.9674465920651068E-2</v>
      </c>
      <c r="CK56" s="22"/>
      <c r="CL56" s="23">
        <f t="shared" si="52"/>
        <v>79</v>
      </c>
      <c r="CM56" s="24">
        <f t="shared" si="66"/>
        <v>4.089026915113872E-2</v>
      </c>
      <c r="CN56" s="22"/>
      <c r="CO56" s="83">
        <f t="shared" si="53"/>
        <v>63</v>
      </c>
      <c r="CP56" s="24">
        <f t="shared" si="63"/>
        <v>3.2984293193717276E-2</v>
      </c>
      <c r="CQ56" s="22"/>
      <c r="CR56" s="23">
        <f>CR45+CR34</f>
        <v>66</v>
      </c>
      <c r="CS56" s="24">
        <f t="shared" si="64"/>
        <v>3.5522066738428421E-2</v>
      </c>
      <c r="CT56" s="22"/>
      <c r="CU56" s="23">
        <f>CU45+CU34</f>
        <v>65</v>
      </c>
      <c r="CV56" s="24">
        <f t="shared" si="69"/>
        <v>3.7164093767867355E-2</v>
      </c>
      <c r="CW56" s="22"/>
      <c r="CX56" s="23">
        <f>CX45+CX34</f>
        <v>64</v>
      </c>
      <c r="CY56" s="24">
        <f t="shared" si="65"/>
        <v>3.6592338479130931E-2</v>
      </c>
      <c r="CZ56" s="23"/>
      <c r="DA56" s="23">
        <f>DA45+DA34</f>
        <v>65</v>
      </c>
      <c r="DB56" s="24">
        <f t="shared" si="72"/>
        <v>3.7227949599083619E-2</v>
      </c>
      <c r="DC56" s="23"/>
      <c r="DD56" s="23">
        <f>DD45+DD34</f>
        <v>65</v>
      </c>
      <c r="DE56" s="24">
        <f t="shared" si="74"/>
        <v>3.7227949599083619E-2</v>
      </c>
      <c r="DF56" s="23"/>
      <c r="DG56" s="23">
        <f>DG45+DG34</f>
        <v>74</v>
      </c>
      <c r="DH56" s="24">
        <f t="shared" si="76"/>
        <v>4.2382588774341354E-2</v>
      </c>
    </row>
    <row r="57" spans="1:112" s="27" customFormat="1" ht="10.15" customHeight="1">
      <c r="A57" s="22"/>
      <c r="B57" s="116" t="s">
        <v>33</v>
      </c>
      <c r="C57" s="116"/>
      <c r="D57" s="116"/>
      <c r="E57" s="116"/>
      <c r="F57" s="23"/>
      <c r="G57" s="24"/>
      <c r="H57" s="23"/>
      <c r="I57" s="23"/>
      <c r="J57" s="24"/>
      <c r="K57" s="25"/>
      <c r="L57" s="23"/>
      <c r="M57" s="24"/>
      <c r="N57" s="26"/>
      <c r="O57" s="23"/>
      <c r="P57" s="24"/>
      <c r="Q57" s="26"/>
      <c r="R57" s="23"/>
      <c r="S57" s="24"/>
      <c r="T57" s="26"/>
      <c r="U57" s="23"/>
      <c r="V57" s="24"/>
      <c r="W57" s="26"/>
      <c r="X57" s="23"/>
      <c r="Y57" s="24"/>
      <c r="Z57" s="26"/>
      <c r="AA57" s="23"/>
      <c r="AB57" s="24"/>
      <c r="AC57" s="26"/>
      <c r="AD57" s="23"/>
      <c r="AE57" s="24"/>
      <c r="AF57" s="26"/>
      <c r="AG57" s="23"/>
      <c r="AH57" s="24"/>
      <c r="AI57" s="26"/>
      <c r="AJ57" s="23"/>
      <c r="AK57" s="24"/>
      <c r="AL57" s="26"/>
      <c r="AM57" s="23"/>
      <c r="AN57" s="24"/>
      <c r="AO57" s="22"/>
      <c r="AP57" s="23"/>
      <c r="AQ57" s="24"/>
      <c r="AR57" s="22"/>
      <c r="AS57" s="23"/>
      <c r="AT57" s="24"/>
      <c r="AU57" s="22"/>
      <c r="AV57" s="23"/>
      <c r="AW57" s="24"/>
      <c r="AX57" s="22"/>
      <c r="AY57" s="23"/>
      <c r="AZ57" s="24"/>
      <c r="BA57" s="22"/>
      <c r="BB57" s="23"/>
      <c r="BC57" s="24"/>
      <c r="BD57" s="22"/>
      <c r="BE57" s="23"/>
      <c r="BF57" s="24"/>
      <c r="BG57" s="22"/>
      <c r="BH57" s="23"/>
      <c r="BI57" s="24"/>
      <c r="BJ57" s="22"/>
      <c r="BK57" s="23">
        <f t="shared" si="54"/>
        <v>0</v>
      </c>
      <c r="BL57" s="24">
        <f>BK57/BK52</f>
        <v>0</v>
      </c>
      <c r="BM57" s="22"/>
      <c r="BN57" s="23">
        <f t="shared" si="55"/>
        <v>1</v>
      </c>
      <c r="BO57" s="24">
        <f>BN57/BN52</f>
        <v>5.7471264367816091E-4</v>
      </c>
      <c r="BP57" s="22"/>
      <c r="BQ57" s="23">
        <f t="shared" si="56"/>
        <v>1</v>
      </c>
      <c r="BR57" s="24">
        <f>BQ57/BQ52</f>
        <v>5.6625141562853911E-4</v>
      </c>
      <c r="BS57" s="22"/>
      <c r="BT57" s="23">
        <f t="shared" si="57"/>
        <v>1</v>
      </c>
      <c r="BU57" s="24">
        <f>BT57/BT52</f>
        <v>5.4200542005420054E-4</v>
      </c>
      <c r="BV57" s="22"/>
      <c r="BW57" s="23">
        <f t="shared" si="58"/>
        <v>1</v>
      </c>
      <c r="BX57" s="24">
        <f>BW57/BW52</f>
        <v>5.3504547886570354E-4</v>
      </c>
      <c r="BY57" s="22"/>
      <c r="BZ57" s="23">
        <f t="shared" si="59"/>
        <v>1</v>
      </c>
      <c r="CA57" s="24">
        <f>BZ57/BZ52</f>
        <v>5.2854122621564484E-4</v>
      </c>
      <c r="CB57" s="22"/>
      <c r="CC57" s="23">
        <f t="shared" si="60"/>
        <v>1</v>
      </c>
      <c r="CD57" s="24">
        <f>CC57/CC52</f>
        <v>5.0684237202230106E-4</v>
      </c>
      <c r="CE57" s="22"/>
      <c r="CF57" s="23">
        <f t="shared" si="61"/>
        <v>1</v>
      </c>
      <c r="CG57" s="24">
        <f>CF57/CF52</f>
        <v>5.0787201625190448E-4</v>
      </c>
      <c r="CH57" s="22"/>
      <c r="CI57" s="23">
        <f t="shared" si="62"/>
        <v>1</v>
      </c>
      <c r="CJ57" s="24">
        <f>CI57/CI52</f>
        <v>5.0864699898270599E-4</v>
      </c>
      <c r="CK57" s="22"/>
      <c r="CL57" s="23">
        <f t="shared" si="52"/>
        <v>1</v>
      </c>
      <c r="CM57" s="24">
        <f t="shared" si="66"/>
        <v>5.1759834368530024E-4</v>
      </c>
      <c r="CN57" s="22"/>
      <c r="CO57" s="83">
        <f t="shared" si="53"/>
        <v>1</v>
      </c>
      <c r="CP57" s="24">
        <f t="shared" si="63"/>
        <v>5.2356020942408382E-4</v>
      </c>
      <c r="CQ57" s="22"/>
      <c r="CR57" s="23">
        <f t="shared" si="67"/>
        <v>1</v>
      </c>
      <c r="CS57" s="24">
        <f t="shared" si="64"/>
        <v>5.3821313240043052E-4</v>
      </c>
      <c r="CT57" s="22"/>
      <c r="CU57" s="23">
        <f t="shared" si="68"/>
        <v>1</v>
      </c>
      <c r="CV57" s="24">
        <f t="shared" si="69"/>
        <v>5.717552887364208E-4</v>
      </c>
      <c r="CW57" s="22"/>
      <c r="CX57" s="23">
        <f t="shared" si="70"/>
        <v>1</v>
      </c>
      <c r="CY57" s="24">
        <f t="shared" si="65"/>
        <v>5.717552887364208E-4</v>
      </c>
      <c r="CZ57" s="23"/>
      <c r="DA57" s="23">
        <f t="shared" si="71"/>
        <v>2</v>
      </c>
      <c r="DB57" s="24">
        <f t="shared" si="72"/>
        <v>1.145475372279496E-3</v>
      </c>
      <c r="DC57" s="23"/>
      <c r="DD57" s="23">
        <f t="shared" si="73"/>
        <v>2</v>
      </c>
      <c r="DE57" s="24">
        <f t="shared" si="74"/>
        <v>1.145475372279496E-3</v>
      </c>
      <c r="DF57" s="23"/>
      <c r="DG57" s="23">
        <f t="shared" si="75"/>
        <v>2</v>
      </c>
      <c r="DH57" s="24">
        <f t="shared" si="76"/>
        <v>1.145475372279496E-3</v>
      </c>
    </row>
    <row r="58" spans="1:112" s="27" customFormat="1" ht="10.15" customHeight="1">
      <c r="A58" s="22"/>
      <c r="B58" s="116" t="s">
        <v>34</v>
      </c>
      <c r="C58" s="116"/>
      <c r="D58" s="116"/>
      <c r="E58" s="116"/>
      <c r="F58" s="23"/>
      <c r="G58" s="24"/>
      <c r="H58" s="23"/>
      <c r="I58" s="23"/>
      <c r="J58" s="24"/>
      <c r="K58" s="25"/>
      <c r="L58" s="23"/>
      <c r="M58" s="24"/>
      <c r="N58" s="26"/>
      <c r="O58" s="23"/>
      <c r="P58" s="24"/>
      <c r="Q58" s="26"/>
      <c r="R58" s="23"/>
      <c r="S58" s="24"/>
      <c r="T58" s="26"/>
      <c r="U58" s="23"/>
      <c r="V58" s="24"/>
      <c r="W58" s="26"/>
      <c r="X58" s="23"/>
      <c r="Y58" s="24"/>
      <c r="Z58" s="26"/>
      <c r="AA58" s="23"/>
      <c r="AB58" s="24"/>
      <c r="AC58" s="26"/>
      <c r="AD58" s="23"/>
      <c r="AE58" s="24"/>
      <c r="AF58" s="26"/>
      <c r="AG58" s="23"/>
      <c r="AH58" s="24"/>
      <c r="AI58" s="26"/>
      <c r="AJ58" s="23"/>
      <c r="AK58" s="24"/>
      <c r="AL58" s="26"/>
      <c r="AM58" s="23"/>
      <c r="AN58" s="24"/>
      <c r="AO58" s="22"/>
      <c r="AP58" s="23"/>
      <c r="AQ58" s="24"/>
      <c r="AR58" s="22"/>
      <c r="AS58" s="23"/>
      <c r="AT58" s="24"/>
      <c r="AU58" s="22"/>
      <c r="AV58" s="23"/>
      <c r="AW58" s="24"/>
      <c r="AX58" s="22"/>
      <c r="AY58" s="23"/>
      <c r="AZ58" s="24"/>
      <c r="BA58" s="22"/>
      <c r="BB58" s="23"/>
      <c r="BC58" s="24"/>
      <c r="BD58" s="22"/>
      <c r="BE58" s="23"/>
      <c r="BF58" s="24"/>
      <c r="BG58" s="22"/>
      <c r="BH58" s="23"/>
      <c r="BI58" s="24"/>
      <c r="BJ58" s="22"/>
      <c r="BK58" s="23">
        <f t="shared" si="54"/>
        <v>2</v>
      </c>
      <c r="BL58" s="24">
        <f>BK58/BK52</f>
        <v>1.145475372279496E-3</v>
      </c>
      <c r="BM58" s="22"/>
      <c r="BN58" s="23">
        <f t="shared" si="55"/>
        <v>4</v>
      </c>
      <c r="BO58" s="24">
        <f>BN58/BN52</f>
        <v>2.2988505747126436E-3</v>
      </c>
      <c r="BP58" s="22"/>
      <c r="BQ58" s="23">
        <f t="shared" si="56"/>
        <v>6</v>
      </c>
      <c r="BR58" s="24">
        <f>BQ58/BQ52</f>
        <v>3.3975084937712344E-3</v>
      </c>
      <c r="BS58" s="22"/>
      <c r="BT58" s="23">
        <f t="shared" si="57"/>
        <v>4</v>
      </c>
      <c r="BU58" s="24">
        <f>BT58/BT52</f>
        <v>2.1680216802168022E-3</v>
      </c>
      <c r="BV58" s="22"/>
      <c r="BW58" s="23">
        <f t="shared" si="58"/>
        <v>4</v>
      </c>
      <c r="BX58" s="24">
        <f>BW58/BW52</f>
        <v>2.1401819154628142E-3</v>
      </c>
      <c r="BY58" s="22"/>
      <c r="BZ58" s="23">
        <f t="shared" si="59"/>
        <v>6</v>
      </c>
      <c r="CA58" s="24">
        <f>BZ58/BZ52</f>
        <v>3.1712473572938688E-3</v>
      </c>
      <c r="CB58" s="22"/>
      <c r="CC58" s="23">
        <f t="shared" si="60"/>
        <v>8</v>
      </c>
      <c r="CD58" s="24">
        <f>CC58/CC52</f>
        <v>4.0547389761784085E-3</v>
      </c>
      <c r="CE58" s="22"/>
      <c r="CF58" s="23">
        <f t="shared" si="61"/>
        <v>13</v>
      </c>
      <c r="CG58" s="24">
        <f>CF58/CF52</f>
        <v>6.6023362112747584E-3</v>
      </c>
      <c r="CH58" s="22"/>
      <c r="CI58" s="23">
        <f t="shared" si="62"/>
        <v>12</v>
      </c>
      <c r="CJ58" s="24">
        <f>CI58/CI52</f>
        <v>6.1037639877924718E-3</v>
      </c>
      <c r="CK58" s="22"/>
      <c r="CL58" s="23">
        <f t="shared" si="52"/>
        <v>11</v>
      </c>
      <c r="CM58" s="24">
        <f t="shared" si="66"/>
        <v>5.693581780538302E-3</v>
      </c>
      <c r="CN58" s="22"/>
      <c r="CO58" s="83">
        <f t="shared" si="53"/>
        <v>13</v>
      </c>
      <c r="CP58" s="24">
        <f t="shared" si="63"/>
        <v>6.8062827225130887E-3</v>
      </c>
      <c r="CQ58" s="22"/>
      <c r="CR58" s="23">
        <f t="shared" si="67"/>
        <v>12</v>
      </c>
      <c r="CS58" s="24">
        <f t="shared" si="64"/>
        <v>6.4585575888051671E-3</v>
      </c>
      <c r="CT58" s="22"/>
      <c r="CU58" s="23">
        <f t="shared" si="68"/>
        <v>15</v>
      </c>
      <c r="CV58" s="24">
        <f t="shared" si="69"/>
        <v>8.5763293310463125E-3</v>
      </c>
      <c r="CW58" s="22"/>
      <c r="CX58" s="23">
        <f t="shared" si="70"/>
        <v>16</v>
      </c>
      <c r="CY58" s="24">
        <f t="shared" si="65"/>
        <v>9.1480846197827329E-3</v>
      </c>
      <c r="CZ58" s="23"/>
      <c r="DA58" s="23">
        <f t="shared" si="71"/>
        <v>15</v>
      </c>
      <c r="DB58" s="24">
        <f t="shared" si="72"/>
        <v>8.5910652920962206E-3</v>
      </c>
      <c r="DC58" s="23"/>
      <c r="DD58" s="23">
        <f t="shared" si="73"/>
        <v>17</v>
      </c>
      <c r="DE58" s="24">
        <f t="shared" si="74"/>
        <v>9.736540664375716E-3</v>
      </c>
      <c r="DF58" s="23"/>
      <c r="DG58" s="23">
        <f t="shared" si="75"/>
        <v>18</v>
      </c>
      <c r="DH58" s="24">
        <f t="shared" si="76"/>
        <v>1.0309278350515464E-2</v>
      </c>
    </row>
    <row r="59" spans="1:112" s="27" customFormat="1" ht="10.15" customHeight="1">
      <c r="A59" s="22"/>
      <c r="B59" s="22" t="s">
        <v>71</v>
      </c>
      <c r="C59" s="22"/>
      <c r="D59" s="22"/>
      <c r="E59" s="22"/>
      <c r="F59" s="23"/>
      <c r="G59" s="24"/>
      <c r="H59" s="23"/>
      <c r="I59" s="23"/>
      <c r="J59" s="24"/>
      <c r="K59" s="25"/>
      <c r="L59" s="23"/>
      <c r="M59" s="24"/>
      <c r="N59" s="26"/>
      <c r="O59" s="23"/>
      <c r="P59" s="24"/>
      <c r="Q59" s="26"/>
      <c r="R59" s="23"/>
      <c r="S59" s="24"/>
      <c r="T59" s="26"/>
      <c r="U59" s="23"/>
      <c r="V59" s="24"/>
      <c r="W59" s="26"/>
      <c r="X59" s="23"/>
      <c r="Y59" s="24"/>
      <c r="Z59" s="26"/>
      <c r="AA59" s="23"/>
      <c r="AB59" s="24"/>
      <c r="AC59" s="26"/>
      <c r="AD59" s="23"/>
      <c r="AE59" s="24"/>
      <c r="AF59" s="26"/>
      <c r="AG59" s="23"/>
      <c r="AH59" s="24"/>
      <c r="AI59" s="26"/>
      <c r="AJ59" s="23"/>
      <c r="AK59" s="24"/>
      <c r="AL59" s="26"/>
      <c r="AM59" s="23"/>
      <c r="AN59" s="24"/>
      <c r="AO59" s="22"/>
      <c r="AP59" s="23"/>
      <c r="AQ59" s="24"/>
      <c r="AR59" s="22"/>
      <c r="AS59" s="23"/>
      <c r="AT59" s="24"/>
      <c r="AU59" s="22"/>
      <c r="AV59" s="23"/>
      <c r="AW59" s="24"/>
      <c r="AX59" s="22"/>
      <c r="AY59" s="23"/>
      <c r="AZ59" s="24"/>
      <c r="BA59" s="22"/>
      <c r="BB59" s="23"/>
      <c r="BC59" s="24"/>
      <c r="BD59" s="22"/>
      <c r="BE59" s="23"/>
      <c r="BF59" s="24"/>
      <c r="BG59" s="22"/>
      <c r="BH59" s="23"/>
      <c r="BI59" s="24"/>
      <c r="BJ59" s="22"/>
      <c r="BK59" s="23"/>
      <c r="BL59" s="24"/>
      <c r="BM59" s="22"/>
      <c r="BN59" s="23"/>
      <c r="BO59" s="24"/>
      <c r="BP59" s="22"/>
      <c r="BQ59" s="23"/>
      <c r="BR59" s="24"/>
      <c r="BS59" s="22"/>
      <c r="BT59" s="23"/>
      <c r="BU59" s="24"/>
      <c r="BV59" s="22"/>
      <c r="BW59" s="23"/>
      <c r="BX59" s="24"/>
      <c r="BY59" s="22"/>
      <c r="BZ59" s="23"/>
      <c r="CA59" s="24"/>
      <c r="CB59" s="22"/>
      <c r="CC59" s="23"/>
      <c r="CD59" s="24"/>
      <c r="CE59" s="22"/>
      <c r="CF59" s="23" t="s">
        <v>59</v>
      </c>
      <c r="CG59" s="24" t="s">
        <v>61</v>
      </c>
      <c r="CH59" s="22"/>
      <c r="CI59" s="23" t="s">
        <v>59</v>
      </c>
      <c r="CJ59" s="24" t="s">
        <v>62</v>
      </c>
      <c r="CK59" s="22"/>
      <c r="CL59" s="23" t="s">
        <v>59</v>
      </c>
      <c r="CM59" s="24" t="s">
        <v>63</v>
      </c>
      <c r="CN59" s="22"/>
      <c r="CO59" s="107">
        <v>0</v>
      </c>
      <c r="CP59" s="24">
        <v>0</v>
      </c>
      <c r="CQ59" s="22"/>
      <c r="CR59" s="23">
        <f t="shared" si="67"/>
        <v>81</v>
      </c>
      <c r="CS59" s="24">
        <f t="shared" si="64"/>
        <v>4.3595263724434875E-2</v>
      </c>
      <c r="CT59" s="22"/>
      <c r="CU59" s="23">
        <f t="shared" si="68"/>
        <v>73</v>
      </c>
      <c r="CV59" s="24">
        <f t="shared" si="69"/>
        <v>4.1738136077758718E-2</v>
      </c>
      <c r="CW59" s="22"/>
      <c r="CX59" s="23">
        <f t="shared" si="70"/>
        <v>63</v>
      </c>
      <c r="CY59" s="24">
        <f t="shared" si="65"/>
        <v>3.6020583190394515E-2</v>
      </c>
      <c r="CZ59" s="23"/>
      <c r="DA59" s="23">
        <f t="shared" si="71"/>
        <v>69</v>
      </c>
      <c r="DB59" s="24">
        <f t="shared" si="72"/>
        <v>3.951890034364261E-2</v>
      </c>
      <c r="DC59" s="23"/>
      <c r="DD59" s="23">
        <f t="shared" si="73"/>
        <v>71</v>
      </c>
      <c r="DE59" s="24">
        <f t="shared" si="74"/>
        <v>4.0664375715922109E-2</v>
      </c>
      <c r="DF59" s="23"/>
      <c r="DG59" s="23">
        <f t="shared" si="75"/>
        <v>80</v>
      </c>
      <c r="DH59" s="24">
        <f t="shared" si="76"/>
        <v>4.5819014891179836E-2</v>
      </c>
    </row>
    <row r="60" spans="1:112" s="27" customFormat="1" ht="10.15" customHeight="1">
      <c r="A60" s="22"/>
      <c r="B60" s="22"/>
      <c r="C60" s="123" t="s">
        <v>68</v>
      </c>
      <c r="D60" s="123"/>
      <c r="E60" s="123"/>
      <c r="F60" s="23">
        <f>SUM(F53:F56)</f>
        <v>164</v>
      </c>
      <c r="G60" s="24">
        <f>(F60/F52)</f>
        <v>8.6179716237519702E-2</v>
      </c>
      <c r="H60" s="23"/>
      <c r="I60" s="23">
        <f>SUM(I53:I56)</f>
        <v>159</v>
      </c>
      <c r="J60" s="24">
        <f>(I60/I52)</f>
        <v>8.9075630252100843E-2</v>
      </c>
      <c r="K60" s="25"/>
      <c r="L60" s="23">
        <f>SUM(L53:L56)</f>
        <v>159</v>
      </c>
      <c r="M60" s="24">
        <f>(L60/L52)</f>
        <v>9.0392268334280837E-2</v>
      </c>
      <c r="N60" s="26"/>
      <c r="O60" s="23">
        <f>SUM(O53:O56)</f>
        <v>168</v>
      </c>
      <c r="P60" s="24">
        <f>(O60/O52)</f>
        <v>9.5346197502837682E-2</v>
      </c>
      <c r="Q60" s="26"/>
      <c r="R60" s="23">
        <f>SUM(R53:R56)</f>
        <v>174</v>
      </c>
      <c r="S60" s="24">
        <f>(R60/R52)</f>
        <v>9.8919840818646965E-2</v>
      </c>
      <c r="T60" s="26"/>
      <c r="U60" s="23">
        <f>SUM(U53:U56)</f>
        <v>166</v>
      </c>
      <c r="V60" s="24">
        <f>(U60/U52)</f>
        <v>9.3206064008983722E-2</v>
      </c>
      <c r="W60" s="26"/>
      <c r="X60" s="23">
        <f>SUM(X53:X56)</f>
        <v>180</v>
      </c>
      <c r="Y60" s="24">
        <f>(X60/X52)</f>
        <v>0.10078387458006718</v>
      </c>
      <c r="Z60" s="26"/>
      <c r="AA60" s="23">
        <f>SUM(AA53:AA56)</f>
        <v>187</v>
      </c>
      <c r="AB60" s="24">
        <f>(AA60/AA52)</f>
        <v>0.1069182389937107</v>
      </c>
      <c r="AC60" s="26"/>
      <c r="AD60" s="23">
        <f>SUM(AD53:AD56)</f>
        <v>208</v>
      </c>
      <c r="AE60" s="24">
        <f>(AD60/AD52)</f>
        <v>0.11574846967167501</v>
      </c>
      <c r="AF60" s="26"/>
      <c r="AG60" s="23">
        <f>SUM(AG53:AG56)</f>
        <v>223</v>
      </c>
      <c r="AH60" s="24">
        <f>(AG60/AG52)</f>
        <v>0.12521055586749016</v>
      </c>
      <c r="AI60" s="26"/>
      <c r="AJ60" s="23">
        <f>SUM(AJ53:AJ56)</f>
        <v>239</v>
      </c>
      <c r="AK60" s="24">
        <f>(AJ60/AJ52)</f>
        <v>0.134345137717819</v>
      </c>
      <c r="AL60" s="26"/>
      <c r="AM60" s="23">
        <f>SUM(AM53:AM56)</f>
        <v>242</v>
      </c>
      <c r="AN60" s="24">
        <f>(AM60/AM52)</f>
        <v>0.1377347751849744</v>
      </c>
      <c r="AO60" s="22"/>
      <c r="AP60" s="23">
        <f>SUM(AP53:AP56)</f>
        <v>248</v>
      </c>
      <c r="AQ60" s="24">
        <f>(AP60/AP52)</f>
        <v>0.14418604651162792</v>
      </c>
      <c r="AR60" s="22"/>
      <c r="AS60" s="23">
        <f>SUM(AS53:AS56)</f>
        <v>267</v>
      </c>
      <c r="AT60" s="24">
        <f>(AS60/AS52)</f>
        <v>0.15248429468874927</v>
      </c>
      <c r="AU60" s="22"/>
      <c r="AV60" s="23">
        <f>SUM(AV53:AV56)</f>
        <v>269</v>
      </c>
      <c r="AW60" s="24">
        <f>(AV60/AV52)</f>
        <v>0.15758640890451084</v>
      </c>
      <c r="AX60" s="22"/>
      <c r="AY60" s="23">
        <f>SUM(AY53:AY56)</f>
        <v>274</v>
      </c>
      <c r="AZ60" s="24">
        <f>(AY60/AY52)</f>
        <v>0.1580161476355248</v>
      </c>
      <c r="BA60" s="22"/>
      <c r="BB60" s="23">
        <f>SUM(BB53:BB56)</f>
        <v>298</v>
      </c>
      <c r="BC60" s="24">
        <f>(BB60/BB52)</f>
        <v>0.1743709771796372</v>
      </c>
      <c r="BD60" s="22"/>
      <c r="BE60" s="23">
        <f>SUM(BE53:BE56)</f>
        <v>308</v>
      </c>
      <c r="BF60" s="24">
        <f>(BE60/BE52)</f>
        <v>0.18377088305489261</v>
      </c>
      <c r="BG60" s="22"/>
      <c r="BH60" s="23">
        <f>SUM(BH53:BH56)</f>
        <v>318</v>
      </c>
      <c r="BI60" s="24">
        <f>(BH60/BH52)</f>
        <v>0.18456181079512479</v>
      </c>
      <c r="BJ60" s="22"/>
      <c r="BK60" s="23">
        <f>SUM(BK53:BK58)</f>
        <v>329</v>
      </c>
      <c r="BL60" s="24">
        <f>(BK60/BK52)</f>
        <v>0.18843069873997709</v>
      </c>
      <c r="BM60" s="22"/>
      <c r="BN60" s="23">
        <f>SUM(BN53:BN58)</f>
        <v>320</v>
      </c>
      <c r="BO60" s="24">
        <f>(BN60/BN52)</f>
        <v>0.18390804597701149</v>
      </c>
      <c r="BP60" s="22"/>
      <c r="BQ60" s="23">
        <f>SUM(BQ53:BQ58)</f>
        <v>350</v>
      </c>
      <c r="BR60" s="24">
        <f>(BQ60/BQ52)</f>
        <v>0.19818799546998866</v>
      </c>
      <c r="BS60" s="22"/>
      <c r="BT60" s="23">
        <f>SUM(BT53:BT58)</f>
        <v>370</v>
      </c>
      <c r="BU60" s="24">
        <f>(BT60/BT52)</f>
        <v>0.20054200542005421</v>
      </c>
      <c r="BV60" s="22"/>
      <c r="BW60" s="23">
        <f>SUM(BW53:BW58)</f>
        <v>378</v>
      </c>
      <c r="BX60" s="24">
        <f>(BW60/BW52)</f>
        <v>0.20224719101123595</v>
      </c>
      <c r="BY60" s="22"/>
      <c r="BZ60" s="23">
        <f>SUM(BZ53:BZ58)</f>
        <v>411</v>
      </c>
      <c r="CA60" s="24">
        <f>(BZ60/BZ52)</f>
        <v>0.21723044397463001</v>
      </c>
      <c r="CB60" s="22"/>
      <c r="CC60" s="23">
        <f>SUM(CC53:CC58)</f>
        <v>446</v>
      </c>
      <c r="CD60" s="24">
        <f>(CC60/CC52)</f>
        <v>0.22605169792194627</v>
      </c>
      <c r="CE60" s="22"/>
      <c r="CF60" s="23">
        <f>SUM(CF53:CF58)</f>
        <v>458</v>
      </c>
      <c r="CG60" s="24">
        <f>(CF60/CF52)</f>
        <v>0.23260538344337228</v>
      </c>
      <c r="CH60" s="22"/>
      <c r="CI60" s="23">
        <f>CI38+CI49</f>
        <v>471</v>
      </c>
      <c r="CJ60" s="24">
        <f>CI60/CI52</f>
        <v>0.23957273652085453</v>
      </c>
      <c r="CK60" s="22"/>
      <c r="CL60" s="23">
        <f>CL49+CL38</f>
        <v>469</v>
      </c>
      <c r="CM60" s="24">
        <f t="shared" si="66"/>
        <v>0.24275362318840579</v>
      </c>
      <c r="CN60" s="22"/>
      <c r="CO60" s="83">
        <f>CO49+CO38</f>
        <v>498</v>
      </c>
      <c r="CP60" s="24">
        <f t="shared" si="63"/>
        <v>0.26073298429319369</v>
      </c>
      <c r="CQ60" s="22"/>
      <c r="CR60" s="23">
        <f t="shared" si="67"/>
        <v>491</v>
      </c>
      <c r="CS60" s="24">
        <f t="shared" si="64"/>
        <v>0.26426264800861143</v>
      </c>
      <c r="CT60" s="22"/>
      <c r="CU60" s="23">
        <f t="shared" si="68"/>
        <v>477</v>
      </c>
      <c r="CV60" s="24">
        <f t="shared" si="69"/>
        <v>0.27272727272727271</v>
      </c>
      <c r="CW60" s="22"/>
      <c r="CX60" s="23">
        <f t="shared" si="70"/>
        <v>465</v>
      </c>
      <c r="CY60" s="24">
        <f t="shared" si="65"/>
        <v>0.2658662092624357</v>
      </c>
      <c r="CZ60" s="23"/>
      <c r="DA60" s="23">
        <f t="shared" si="71"/>
        <v>483</v>
      </c>
      <c r="DB60" s="24">
        <f t="shared" si="72"/>
        <v>0.2766323024054983</v>
      </c>
      <c r="DC60" s="23"/>
      <c r="DD60" s="23">
        <f t="shared" si="73"/>
        <v>489</v>
      </c>
      <c r="DE60" s="24">
        <f t="shared" si="74"/>
        <v>0.28006872852233677</v>
      </c>
      <c r="DF60" s="23"/>
      <c r="DG60" s="23">
        <f t="shared" si="75"/>
        <v>505</v>
      </c>
      <c r="DH60" s="24">
        <f t="shared" si="76"/>
        <v>0.28923253150057276</v>
      </c>
    </row>
    <row r="61" spans="1:112" s="27" customFormat="1" ht="10.15" customHeight="1">
      <c r="A61" s="22"/>
      <c r="B61" s="76" t="s">
        <v>38</v>
      </c>
      <c r="C61" s="76"/>
      <c r="D61" s="76"/>
      <c r="E61" s="76"/>
      <c r="F61" s="23">
        <f>F39+F50</f>
        <v>1739</v>
      </c>
      <c r="G61" s="24">
        <f>(F61/F52)</f>
        <v>0.91382028376248026</v>
      </c>
      <c r="H61" s="23"/>
      <c r="I61" s="23">
        <f>I39+I50</f>
        <v>1626</v>
      </c>
      <c r="J61" s="24">
        <f>(I61/I52)</f>
        <v>0.91092436974789914</v>
      </c>
      <c r="K61" s="25"/>
      <c r="L61" s="23">
        <f>L39+L50</f>
        <v>1600</v>
      </c>
      <c r="M61" s="24">
        <f>(L61/L52)</f>
        <v>0.90960773166571918</v>
      </c>
      <c r="N61" s="26"/>
      <c r="O61" s="23">
        <f>O39+O50</f>
        <v>1594</v>
      </c>
      <c r="P61" s="24">
        <f>(O61/O52)</f>
        <v>0.90465380249716232</v>
      </c>
      <c r="Q61" s="26"/>
      <c r="R61" s="23">
        <f>R39+R50</f>
        <v>1585</v>
      </c>
      <c r="S61" s="24">
        <f>(R61/R52)</f>
        <v>0.90108015918135309</v>
      </c>
      <c r="T61" s="26"/>
      <c r="U61" s="23">
        <f>U39+U50</f>
        <v>1615</v>
      </c>
      <c r="V61" s="24">
        <f>(U61/U52)</f>
        <v>0.90679393599101632</v>
      </c>
      <c r="W61" s="26"/>
      <c r="X61" s="23">
        <f>X39+X50</f>
        <v>1606</v>
      </c>
      <c r="Y61" s="24">
        <f>(X61/X52)</f>
        <v>0.89921612541993279</v>
      </c>
      <c r="Z61" s="26"/>
      <c r="AA61" s="23">
        <f>AA39+AA50</f>
        <v>1562</v>
      </c>
      <c r="AB61" s="24">
        <f>(AA61/AA52)</f>
        <v>0.89308176100628933</v>
      </c>
      <c r="AC61" s="26"/>
      <c r="AD61" s="23">
        <f>AD39+AD50</f>
        <v>1589</v>
      </c>
      <c r="AE61" s="24">
        <f>(AD61/AD52)</f>
        <v>0.88425153032832493</v>
      </c>
      <c r="AF61" s="26"/>
      <c r="AG61" s="23">
        <f>AG39+AG50</f>
        <v>1558</v>
      </c>
      <c r="AH61" s="24">
        <f>(AG61/AG52)</f>
        <v>0.87478944413250981</v>
      </c>
      <c r="AI61" s="26"/>
      <c r="AJ61" s="23">
        <f>AJ39+AJ50</f>
        <v>1540</v>
      </c>
      <c r="AK61" s="24">
        <f>(AJ61/AJ52)</f>
        <v>0.86565486228218103</v>
      </c>
      <c r="AL61" s="26"/>
      <c r="AM61" s="23">
        <f>AM39+AM50</f>
        <v>1515</v>
      </c>
      <c r="AN61" s="24">
        <f>(AM61/AM52)</f>
        <v>0.86226522481502565</v>
      </c>
      <c r="AO61" s="22"/>
      <c r="AP61" s="23">
        <f>AP39+AP50</f>
        <v>1472</v>
      </c>
      <c r="AQ61" s="24">
        <f>(AP61/AP52)</f>
        <v>0.85581395348837208</v>
      </c>
      <c r="AR61" s="22"/>
      <c r="AS61" s="23">
        <f>AS39+AS50</f>
        <v>1484</v>
      </c>
      <c r="AT61" s="24">
        <f>(AS61/AS52)</f>
        <v>0.84751570531125076</v>
      </c>
      <c r="AU61" s="22"/>
      <c r="AV61" s="23">
        <f>AV39+AV50</f>
        <v>1438</v>
      </c>
      <c r="AW61" s="24">
        <f>(AV61/AV52)</f>
        <v>0.84241359109548919</v>
      </c>
      <c r="AX61" s="22"/>
      <c r="AY61" s="23">
        <f>AY39+AY50</f>
        <v>1460</v>
      </c>
      <c r="AZ61" s="24">
        <f>(AY61/AY52)</f>
        <v>0.84198385236447515</v>
      </c>
      <c r="BA61" s="22"/>
      <c r="BB61" s="23">
        <f>BB39+BB50</f>
        <v>1411</v>
      </c>
      <c r="BC61" s="24">
        <f>(BB61/BB52)</f>
        <v>0.82562902282036277</v>
      </c>
      <c r="BD61" s="22"/>
      <c r="BE61" s="23">
        <f>BE39+BE50</f>
        <v>1368</v>
      </c>
      <c r="BF61" s="24">
        <f>(BE61/BE52)</f>
        <v>0.81622911694510736</v>
      </c>
      <c r="BG61" s="22"/>
      <c r="BH61" s="23">
        <f>BH39+BH50</f>
        <v>1405</v>
      </c>
      <c r="BI61" s="24">
        <f>(BH61/BH52)</f>
        <v>0.81543818920487521</v>
      </c>
      <c r="BJ61" s="22"/>
      <c r="BK61" s="23">
        <f>BK39+BK50</f>
        <v>1417</v>
      </c>
      <c r="BL61" s="24">
        <f>(BK61/BK52)</f>
        <v>0.81156930126002291</v>
      </c>
      <c r="BM61" s="22"/>
      <c r="BN61" s="23">
        <f>BN39+BN50</f>
        <v>1420</v>
      </c>
      <c r="BO61" s="24">
        <f>(BN61/BN52)</f>
        <v>0.81609195402298851</v>
      </c>
      <c r="BP61" s="22"/>
      <c r="BQ61" s="23">
        <f>BQ39+BQ50</f>
        <v>1416</v>
      </c>
      <c r="BR61" s="24">
        <f>(BQ61/BQ52)</f>
        <v>0.80181200453001134</v>
      </c>
      <c r="BS61" s="22"/>
      <c r="BT61" s="23">
        <f>BT39+BT50</f>
        <v>1475</v>
      </c>
      <c r="BU61" s="24">
        <f>(BT61/BT52)</f>
        <v>0.79945799457994582</v>
      </c>
      <c r="BV61" s="22"/>
      <c r="BW61" s="23">
        <f>BW39+BW50</f>
        <v>1491</v>
      </c>
      <c r="BX61" s="24">
        <f>(BW61/BW52)</f>
        <v>0.797752808988764</v>
      </c>
      <c r="BY61" s="22"/>
      <c r="BZ61" s="23">
        <f>BZ39+BZ50</f>
        <v>1481</v>
      </c>
      <c r="CA61" s="24">
        <f>(BZ61/BZ52)</f>
        <v>0.78276955602537002</v>
      </c>
      <c r="CB61" s="22"/>
      <c r="CC61" s="23">
        <f>CC39+CC50</f>
        <v>1527</v>
      </c>
      <c r="CD61" s="24">
        <f>(CC61/CC52)</f>
        <v>0.77394830207805376</v>
      </c>
      <c r="CE61" s="22"/>
      <c r="CF61" s="23">
        <f>CF39+CF50</f>
        <v>1511</v>
      </c>
      <c r="CG61" s="24">
        <f>(CF61/CF52)</f>
        <v>0.76739461655662777</v>
      </c>
      <c r="CH61" s="22"/>
      <c r="CI61" s="23">
        <f>CI39+CI50</f>
        <v>1495</v>
      </c>
      <c r="CJ61" s="24">
        <f>CI61/CI52</f>
        <v>0.76042726347914547</v>
      </c>
      <c r="CK61" s="22"/>
      <c r="CL61" s="23">
        <f>CL50+CL39</f>
        <v>1464</v>
      </c>
      <c r="CM61" s="24">
        <f t="shared" si="66"/>
        <v>0.75776397515527949</v>
      </c>
      <c r="CN61" s="22"/>
      <c r="CO61" s="83">
        <f>CO50+CO39</f>
        <v>1405</v>
      </c>
      <c r="CP61" s="24">
        <f t="shared" si="63"/>
        <v>0.73560209424083767</v>
      </c>
      <c r="CQ61" s="22"/>
      <c r="CR61" s="23">
        <f t="shared" si="67"/>
        <v>1367</v>
      </c>
      <c r="CS61" s="24">
        <f t="shared" si="64"/>
        <v>0.73573735199138857</v>
      </c>
      <c r="CT61" s="22"/>
      <c r="CU61" s="23">
        <f t="shared" si="68"/>
        <v>1322</v>
      </c>
      <c r="CV61" s="24">
        <f t="shared" si="69"/>
        <v>0.75586049170954828</v>
      </c>
      <c r="CW61" s="22"/>
      <c r="CX61" s="23">
        <f t="shared" si="70"/>
        <v>1284</v>
      </c>
      <c r="CY61" s="24">
        <f t="shared" si="65"/>
        <v>0.73413379073756435</v>
      </c>
      <c r="CZ61" s="23"/>
      <c r="DA61" s="23">
        <f t="shared" si="71"/>
        <v>1263</v>
      </c>
      <c r="DB61" s="24">
        <f t="shared" si="72"/>
        <v>0.7233676975945017</v>
      </c>
      <c r="DC61" s="23"/>
      <c r="DD61" s="23">
        <f t="shared" si="73"/>
        <v>1257</v>
      </c>
      <c r="DE61" s="24">
        <f t="shared" si="74"/>
        <v>0.71993127147766323</v>
      </c>
      <c r="DF61" s="23"/>
      <c r="DG61" s="23">
        <f t="shared" si="75"/>
        <v>1241</v>
      </c>
      <c r="DH61" s="24">
        <f t="shared" si="76"/>
        <v>0.71076746849942729</v>
      </c>
    </row>
    <row r="62" spans="1:112" s="33" customFormat="1" ht="10.15" customHeight="1">
      <c r="A62" s="28"/>
      <c r="B62" s="130" t="s">
        <v>58</v>
      </c>
      <c r="C62" s="130"/>
      <c r="D62" s="130"/>
      <c r="E62" s="130"/>
      <c r="F62" s="29"/>
      <c r="G62" s="30"/>
      <c r="H62" s="29"/>
      <c r="I62" s="29"/>
      <c r="J62" s="30"/>
      <c r="K62" s="31"/>
      <c r="L62" s="29"/>
      <c r="M62" s="30"/>
      <c r="N62" s="32"/>
      <c r="O62" s="29"/>
      <c r="P62" s="30"/>
      <c r="Q62" s="32"/>
      <c r="R62" s="29"/>
      <c r="S62" s="30"/>
      <c r="T62" s="32"/>
      <c r="U62" s="29"/>
      <c r="V62" s="30"/>
      <c r="W62" s="32"/>
      <c r="X62" s="29"/>
      <c r="Y62" s="30"/>
      <c r="Z62" s="32"/>
      <c r="AA62" s="29"/>
      <c r="AB62" s="30"/>
      <c r="AC62" s="32"/>
      <c r="AD62" s="29"/>
      <c r="AE62" s="30"/>
      <c r="AF62" s="32"/>
      <c r="AG62" s="29"/>
      <c r="AH62" s="30"/>
      <c r="AI62" s="32"/>
      <c r="AJ62" s="29"/>
      <c r="AK62" s="30"/>
      <c r="AL62" s="32"/>
      <c r="AM62" s="29"/>
      <c r="AN62" s="30"/>
      <c r="AO62" s="28"/>
      <c r="AP62" s="29"/>
      <c r="AQ62" s="30"/>
      <c r="AR62" s="28"/>
      <c r="AS62" s="29"/>
      <c r="AT62" s="30"/>
      <c r="AU62" s="28"/>
      <c r="AV62" s="29"/>
      <c r="AW62" s="30"/>
      <c r="AX62" s="28"/>
      <c r="AY62" s="29"/>
      <c r="AZ62" s="30"/>
      <c r="BA62" s="28"/>
      <c r="BB62" s="29"/>
      <c r="BC62" s="30"/>
      <c r="BD62" s="28"/>
      <c r="BE62" s="29"/>
      <c r="BF62" s="30"/>
      <c r="BG62" s="28"/>
      <c r="BH62" s="29"/>
      <c r="BI62" s="30"/>
      <c r="BJ62" s="28"/>
      <c r="BK62" s="29"/>
      <c r="BL62" s="30"/>
      <c r="BM62" s="28"/>
      <c r="BN62" s="29"/>
      <c r="BO62" s="30"/>
      <c r="BP62" s="28"/>
      <c r="BQ62" s="29"/>
      <c r="BR62" s="30"/>
      <c r="BS62" s="28"/>
      <c r="BT62" s="29"/>
      <c r="BU62" s="30"/>
      <c r="BV62" s="28"/>
      <c r="BW62" s="29"/>
      <c r="BX62" s="30"/>
      <c r="BY62" s="28"/>
      <c r="BZ62" s="29"/>
      <c r="CA62" s="30"/>
      <c r="CB62" s="28"/>
      <c r="CC62" s="89" t="s">
        <v>59</v>
      </c>
      <c r="CD62" s="89" t="s">
        <v>60</v>
      </c>
      <c r="CE62" s="28"/>
      <c r="CF62" s="89" t="s">
        <v>59</v>
      </c>
      <c r="CG62" s="89" t="s">
        <v>61</v>
      </c>
      <c r="CH62" s="28"/>
      <c r="CI62" s="89" t="s">
        <v>59</v>
      </c>
      <c r="CJ62" s="89" t="s">
        <v>62</v>
      </c>
      <c r="CK62" s="28"/>
      <c r="CL62" s="89" t="s">
        <v>59</v>
      </c>
      <c r="CM62" s="89" t="s">
        <v>63</v>
      </c>
      <c r="CN62" s="28"/>
      <c r="CO62" s="84">
        <f>CO51+CO40</f>
        <v>7</v>
      </c>
      <c r="CP62" s="30">
        <f>CO62/10</f>
        <v>0.7</v>
      </c>
      <c r="CQ62" s="28"/>
      <c r="CR62" s="29">
        <f t="shared" si="67"/>
        <v>0</v>
      </c>
      <c r="CS62" s="30">
        <f t="shared" si="64"/>
        <v>0</v>
      </c>
      <c r="CT62" s="28"/>
      <c r="CU62" s="29">
        <f t="shared" si="68"/>
        <v>0</v>
      </c>
      <c r="CV62" s="30">
        <f t="shared" si="69"/>
        <v>0</v>
      </c>
      <c r="CW62" s="28"/>
      <c r="CX62" s="29">
        <f t="shared" si="70"/>
        <v>0</v>
      </c>
      <c r="CY62" s="30">
        <f t="shared" si="65"/>
        <v>0</v>
      </c>
      <c r="CZ62" s="29"/>
      <c r="DA62" s="29">
        <f t="shared" si="71"/>
        <v>0</v>
      </c>
      <c r="DB62" s="24">
        <f t="shared" si="72"/>
        <v>0</v>
      </c>
      <c r="DC62" s="29"/>
      <c r="DD62" s="29">
        <f t="shared" si="73"/>
        <v>0</v>
      </c>
      <c r="DE62" s="24">
        <f t="shared" si="74"/>
        <v>0</v>
      </c>
      <c r="DF62" s="29"/>
      <c r="DG62" s="29">
        <f t="shared" si="75"/>
        <v>0</v>
      </c>
      <c r="DH62" s="24">
        <f t="shared" si="76"/>
        <v>0</v>
      </c>
    </row>
    <row r="63" spans="1:112" s="44" customFormat="1" ht="15" customHeight="1">
      <c r="A63" s="115" t="s">
        <v>72</v>
      </c>
      <c r="B63" s="115"/>
      <c r="C63" s="115"/>
      <c r="D63" s="115"/>
      <c r="E63" s="115"/>
      <c r="F63" s="56"/>
      <c r="G63" s="57"/>
      <c r="H63" s="56"/>
      <c r="I63" s="56"/>
      <c r="J63" s="57"/>
      <c r="K63" s="58"/>
      <c r="L63" s="56"/>
      <c r="M63" s="57"/>
      <c r="N63" s="59"/>
      <c r="O63" s="56"/>
      <c r="P63" s="57"/>
      <c r="Q63" s="59"/>
      <c r="R63" s="56"/>
      <c r="S63" s="57"/>
      <c r="T63" s="59"/>
      <c r="U63" s="56"/>
      <c r="V63" s="57"/>
      <c r="W63" s="59"/>
      <c r="X63" s="56"/>
      <c r="Y63" s="57"/>
      <c r="Z63" s="59"/>
      <c r="AA63" s="56"/>
      <c r="AB63" s="57"/>
      <c r="AC63" s="59"/>
      <c r="AD63" s="56"/>
      <c r="AE63" s="57"/>
      <c r="AF63" s="59"/>
      <c r="AG63" s="56"/>
      <c r="AH63" s="57"/>
      <c r="AI63" s="59"/>
      <c r="AJ63" s="56"/>
      <c r="AK63" s="57"/>
      <c r="AL63" s="59"/>
      <c r="AM63" s="56"/>
      <c r="AN63" s="57"/>
      <c r="AP63" s="56"/>
      <c r="AQ63" s="57"/>
      <c r="AS63" s="56"/>
      <c r="AT63" s="57"/>
      <c r="AV63" s="56"/>
      <c r="AW63" s="57"/>
      <c r="AY63" s="56"/>
      <c r="AZ63" s="57"/>
      <c r="BB63" s="56"/>
      <c r="BC63" s="57"/>
      <c r="BE63" s="56"/>
      <c r="BF63" s="57"/>
      <c r="BH63" s="56"/>
      <c r="BI63" s="57"/>
      <c r="BK63" s="56"/>
      <c r="BL63" s="57"/>
      <c r="BN63" s="56"/>
      <c r="BO63" s="57"/>
      <c r="BQ63" s="56"/>
      <c r="BR63" s="57"/>
      <c r="BT63" s="56"/>
      <c r="BU63" s="57"/>
      <c r="BW63" s="56"/>
      <c r="BX63" s="57"/>
      <c r="BZ63" s="56"/>
      <c r="CA63" s="57"/>
      <c r="CC63" s="56"/>
      <c r="CD63" s="57"/>
      <c r="CF63" s="56"/>
      <c r="CG63" s="57"/>
      <c r="CI63" s="56"/>
      <c r="CJ63" s="57"/>
      <c r="CL63" s="56"/>
      <c r="CM63" s="57"/>
      <c r="CO63" s="88"/>
      <c r="CP63" s="57"/>
      <c r="CR63" s="56"/>
      <c r="CS63" s="57"/>
      <c r="CU63" s="56"/>
      <c r="CV63" s="57"/>
      <c r="CX63" s="56"/>
      <c r="CY63" s="57"/>
      <c r="CZ63" s="56"/>
      <c r="DA63" s="56"/>
      <c r="DB63" s="57"/>
      <c r="DC63" s="56"/>
      <c r="DD63" s="56"/>
      <c r="DE63" s="57"/>
      <c r="DF63" s="56"/>
      <c r="DG63" s="56"/>
      <c r="DH63" s="57"/>
    </row>
    <row r="64" spans="1:112" s="44" customFormat="1" ht="12" customHeight="1">
      <c r="A64" s="115" t="s">
        <v>73</v>
      </c>
      <c r="B64" s="115"/>
      <c r="C64" s="115"/>
      <c r="D64" s="115"/>
      <c r="E64" s="115"/>
      <c r="F64" s="56">
        <f>SUM(F72:F75)</f>
        <v>47</v>
      </c>
      <c r="G64" s="57"/>
      <c r="H64" s="56"/>
      <c r="I64" s="56">
        <f>SUM(I72:I75)</f>
        <v>55</v>
      </c>
      <c r="J64" s="57"/>
      <c r="K64" s="58"/>
      <c r="L64" s="56">
        <f>SUM(L72:L75)</f>
        <v>59</v>
      </c>
      <c r="M64" s="57"/>
      <c r="N64" s="59"/>
      <c r="O64" s="56">
        <f>SUM(O72:O75)</f>
        <v>63</v>
      </c>
      <c r="P64" s="57"/>
      <c r="Q64" s="59"/>
      <c r="R64" s="56">
        <f>SUM(R72:R75)</f>
        <v>69</v>
      </c>
      <c r="S64" s="57"/>
      <c r="T64" s="59"/>
      <c r="U64" s="56">
        <f>SUM(U72:U75)</f>
        <v>36</v>
      </c>
      <c r="V64" s="57"/>
      <c r="W64" s="59"/>
      <c r="X64" s="56">
        <f>SUM(X72:X75)</f>
        <v>39</v>
      </c>
      <c r="Y64" s="57"/>
      <c r="Z64" s="59"/>
      <c r="AA64" s="56">
        <f>SUM(AA72:AA75)</f>
        <v>30</v>
      </c>
      <c r="AB64" s="57"/>
      <c r="AC64" s="59"/>
      <c r="AD64" s="56">
        <f>SUM(AD72:AD75)</f>
        <v>31</v>
      </c>
      <c r="AE64" s="57"/>
      <c r="AF64" s="59"/>
      <c r="AG64" s="56">
        <f>SUM(AG72:AG75)</f>
        <v>26</v>
      </c>
      <c r="AH64" s="57"/>
      <c r="AI64" s="59"/>
      <c r="AJ64" s="56">
        <f>SUM(AJ72:AJ75)</f>
        <v>25</v>
      </c>
      <c r="AK64" s="57"/>
      <c r="AL64" s="59"/>
      <c r="AM64" s="56">
        <f>SUM(AM72:AM75)</f>
        <v>23</v>
      </c>
      <c r="AN64" s="57"/>
      <c r="AP64" s="56">
        <f>SUM(AP72:AP75)</f>
        <v>16</v>
      </c>
      <c r="AQ64" s="57"/>
      <c r="AS64" s="56">
        <f>SUM(AS72:AS75)</f>
        <v>15</v>
      </c>
      <c r="AT64" s="57"/>
      <c r="AV64" s="56">
        <f>SUM(AV72:AV75)</f>
        <v>20</v>
      </c>
      <c r="AW64" s="57"/>
      <c r="AY64" s="56">
        <f>SUM(AY72:AY75)</f>
        <v>11</v>
      </c>
      <c r="AZ64" s="57"/>
      <c r="BB64" s="56">
        <f>SUM(BB72:BB75)</f>
        <v>10</v>
      </c>
      <c r="BC64" s="57"/>
      <c r="BE64" s="56">
        <f>SUM(BE72:BE75)</f>
        <v>3</v>
      </c>
      <c r="BF64" s="57"/>
      <c r="BH64" s="56">
        <f>SUM(BH72:BH75)</f>
        <v>8</v>
      </c>
      <c r="BI64" s="57"/>
      <c r="BK64" s="56">
        <f>SUM(BK72:BK75)</f>
        <v>6</v>
      </c>
      <c r="BL64" s="57"/>
      <c r="BN64" s="56">
        <f>SUM(BN72:BN75)</f>
        <v>2</v>
      </c>
      <c r="BO64" s="57"/>
      <c r="BQ64" s="56">
        <f>SUM(BQ72:BQ75)</f>
        <v>2</v>
      </c>
      <c r="BR64" s="57"/>
      <c r="BT64" s="56">
        <f>SUM(BT72:BT75)</f>
        <v>6</v>
      </c>
      <c r="BU64" s="57"/>
      <c r="BW64" s="63">
        <f>SUM(BW72:BW75)</f>
        <v>4</v>
      </c>
      <c r="BX64" s="64"/>
      <c r="BY64" s="65"/>
      <c r="BZ64" s="63">
        <f>SUM(BZ72:BZ75)</f>
        <v>1</v>
      </c>
      <c r="CA64" s="64"/>
      <c r="CB64" s="65"/>
      <c r="CC64" s="63">
        <f>SUM(CC72:CC75)</f>
        <v>2</v>
      </c>
      <c r="CD64" s="64"/>
      <c r="CE64" s="65"/>
      <c r="CF64" s="63">
        <f>SUM(CF72:CF75)</f>
        <v>2</v>
      </c>
      <c r="CG64" s="64"/>
      <c r="CH64" s="65"/>
      <c r="CI64" s="63">
        <v>0</v>
      </c>
      <c r="CJ64" s="57"/>
      <c r="CK64" s="65"/>
      <c r="CL64" s="63">
        <v>2</v>
      </c>
      <c r="CM64" s="57"/>
      <c r="CN64" s="65"/>
      <c r="CO64" s="85">
        <v>0</v>
      </c>
      <c r="CP64" s="57"/>
      <c r="CQ64" s="65"/>
      <c r="CR64" s="63">
        <f>SUM(CR72:CR74)</f>
        <v>2</v>
      </c>
      <c r="CS64" s="57"/>
      <c r="CT64" s="65"/>
      <c r="CU64" s="63">
        <f>SUM(CU72:CU74)</f>
        <v>0</v>
      </c>
      <c r="CV64" s="57"/>
      <c r="CW64" s="65"/>
      <c r="CX64" s="63">
        <f>SUM(CX72:CX74)</f>
        <v>0</v>
      </c>
      <c r="CY64" s="57"/>
      <c r="CZ64" s="63"/>
      <c r="DA64" s="63">
        <f>SUM(DA72:DA74)</f>
        <v>0</v>
      </c>
      <c r="DB64" s="57"/>
      <c r="DC64" s="63"/>
      <c r="DD64" s="63">
        <f>SUM(DD72:DD74)</f>
        <v>0</v>
      </c>
      <c r="DE64" s="57"/>
      <c r="DF64" s="63"/>
      <c r="DG64" s="63">
        <f>SUM(DG72:DG74)</f>
        <v>0</v>
      </c>
      <c r="DH64" s="57"/>
    </row>
    <row r="65" spans="1:112" s="27" customFormat="1" ht="10.15" customHeight="1">
      <c r="B65" s="118" t="s">
        <v>55</v>
      </c>
      <c r="C65" s="118"/>
      <c r="D65" s="118"/>
      <c r="E65" s="118"/>
      <c r="F65" s="34">
        <v>1</v>
      </c>
      <c r="G65" s="35">
        <f>(F65/F64)</f>
        <v>2.1276595744680851E-2</v>
      </c>
      <c r="H65" s="34"/>
      <c r="I65" s="34">
        <v>1</v>
      </c>
      <c r="J65" s="35">
        <f>(I65/I64)</f>
        <v>1.8181818181818181E-2</v>
      </c>
      <c r="K65" s="36"/>
      <c r="L65" s="34">
        <v>3</v>
      </c>
      <c r="M65" s="35">
        <f>(L65/L64)</f>
        <v>5.0847457627118647E-2</v>
      </c>
      <c r="N65" s="37"/>
      <c r="O65" s="34">
        <v>4</v>
      </c>
      <c r="P65" s="35">
        <f>(O65/O64)</f>
        <v>6.3492063492063489E-2</v>
      </c>
      <c r="Q65" s="37"/>
      <c r="R65" s="34">
        <v>7</v>
      </c>
      <c r="S65" s="35">
        <f>(R65/R64)</f>
        <v>0.10144927536231885</v>
      </c>
      <c r="T65" s="37"/>
      <c r="U65" s="34">
        <v>1</v>
      </c>
      <c r="V65" s="35">
        <f>(U65/U64)</f>
        <v>2.7777777777777776E-2</v>
      </c>
      <c r="W65" s="37"/>
      <c r="X65" s="34">
        <v>1</v>
      </c>
      <c r="Y65" s="35">
        <f>(X65/X64)</f>
        <v>2.564102564102564E-2</v>
      </c>
      <c r="Z65" s="37"/>
      <c r="AA65" s="34">
        <v>1</v>
      </c>
      <c r="AB65" s="35">
        <f>(AA65/AA64)</f>
        <v>3.3333333333333333E-2</v>
      </c>
      <c r="AC65" s="37"/>
      <c r="AD65" s="34">
        <v>0</v>
      </c>
      <c r="AE65" s="35">
        <f>(AD65/AD64)</f>
        <v>0</v>
      </c>
      <c r="AF65" s="37"/>
      <c r="AG65" s="34">
        <v>0</v>
      </c>
      <c r="AH65" s="35">
        <f>(AG65/AG64)</f>
        <v>0</v>
      </c>
      <c r="AI65" s="37"/>
      <c r="AJ65" s="34">
        <v>0</v>
      </c>
      <c r="AK65" s="35">
        <f>(AJ65/AJ64)</f>
        <v>0</v>
      </c>
      <c r="AL65" s="37"/>
      <c r="AM65" s="34">
        <v>0</v>
      </c>
      <c r="AN65" s="35">
        <f>(AM65/AM64)</f>
        <v>0</v>
      </c>
      <c r="AP65" s="34">
        <v>0</v>
      </c>
      <c r="AQ65" s="35">
        <f>(AP65/AP64)</f>
        <v>0</v>
      </c>
      <c r="AS65" s="34">
        <v>0</v>
      </c>
      <c r="AT65" s="35">
        <f>(AS65/AS64)</f>
        <v>0</v>
      </c>
      <c r="AV65" s="34">
        <v>0</v>
      </c>
      <c r="AW65" s="35">
        <f>(AV65/AV64)</f>
        <v>0</v>
      </c>
      <c r="AY65" s="34">
        <v>0</v>
      </c>
      <c r="AZ65" s="35">
        <f>(AY65/AY64)</f>
        <v>0</v>
      </c>
      <c r="BB65" s="34">
        <v>0</v>
      </c>
      <c r="BC65" s="35">
        <f>(BB65/BB64)</f>
        <v>0</v>
      </c>
      <c r="BE65" s="34">
        <v>0</v>
      </c>
      <c r="BF65" s="35">
        <f>(BE65/BE64)</f>
        <v>0</v>
      </c>
      <c r="BH65" s="34">
        <v>0</v>
      </c>
      <c r="BI65" s="35">
        <f>(BH65/BH64)</f>
        <v>0</v>
      </c>
      <c r="BK65" s="34">
        <v>0</v>
      </c>
      <c r="BL65" s="35">
        <f>(BK65/BK64)</f>
        <v>0</v>
      </c>
      <c r="BN65" s="34">
        <v>0</v>
      </c>
      <c r="BO65" s="35">
        <f>(BN65/BN64)</f>
        <v>0</v>
      </c>
      <c r="BQ65" s="34">
        <v>0</v>
      </c>
      <c r="BR65" s="35">
        <f>(BQ65/BQ64)</f>
        <v>0</v>
      </c>
      <c r="BT65" s="34">
        <v>0</v>
      </c>
      <c r="BU65" s="35">
        <f>(BT65/BT64)</f>
        <v>0</v>
      </c>
      <c r="BW65" s="34">
        <v>0</v>
      </c>
      <c r="BX65" s="35">
        <f>(BW65/BW64)</f>
        <v>0</v>
      </c>
      <c r="BZ65" s="34">
        <v>0</v>
      </c>
      <c r="CA65" s="35">
        <f>(BZ65/BZ64)</f>
        <v>0</v>
      </c>
      <c r="CC65" s="34">
        <v>0</v>
      </c>
      <c r="CD65" s="35">
        <f>(CC65/CC64)</f>
        <v>0</v>
      </c>
      <c r="CF65" s="34">
        <v>0</v>
      </c>
      <c r="CG65" s="35">
        <f>(CF65/CF64)</f>
        <v>0</v>
      </c>
      <c r="CI65" s="34">
        <v>0</v>
      </c>
      <c r="CJ65" s="35">
        <v>0</v>
      </c>
      <c r="CL65" s="34">
        <v>0</v>
      </c>
      <c r="CM65" s="35">
        <f>CL65/2</f>
        <v>0</v>
      </c>
      <c r="CO65" s="86">
        <v>0</v>
      </c>
      <c r="CP65" s="35">
        <v>0</v>
      </c>
      <c r="CR65" s="34">
        <v>0</v>
      </c>
      <c r="CS65" s="35">
        <f t="shared" ref="CS65:CS74" si="77">CR65/$CR$64</f>
        <v>0</v>
      </c>
      <c r="CU65" s="34">
        <v>0</v>
      </c>
      <c r="CV65" s="35">
        <v>0</v>
      </c>
      <c r="CX65" s="34">
        <v>0</v>
      </c>
      <c r="CY65" s="35">
        <v>0</v>
      </c>
      <c r="CZ65" s="34"/>
      <c r="DA65" s="34">
        <v>0</v>
      </c>
      <c r="DB65" s="35">
        <v>0</v>
      </c>
      <c r="DC65" s="34"/>
      <c r="DD65" s="34">
        <v>0</v>
      </c>
      <c r="DE65" s="35">
        <v>0</v>
      </c>
      <c r="DF65" s="34"/>
      <c r="DG65" s="34">
        <v>0</v>
      </c>
      <c r="DH65" s="35">
        <v>0</v>
      </c>
    </row>
    <row r="66" spans="1:112" s="27" customFormat="1" ht="10.15" customHeight="1">
      <c r="B66" s="118" t="s">
        <v>9</v>
      </c>
      <c r="C66" s="118"/>
      <c r="D66" s="118"/>
      <c r="E66" s="118"/>
      <c r="F66" s="34">
        <v>2</v>
      </c>
      <c r="G66" s="35">
        <f>(F66/F64)</f>
        <v>4.2553191489361701E-2</v>
      </c>
      <c r="H66" s="34"/>
      <c r="I66" s="34">
        <v>2</v>
      </c>
      <c r="J66" s="35">
        <f>(I66/I64)</f>
        <v>3.6363636363636362E-2</v>
      </c>
      <c r="K66" s="36"/>
      <c r="L66" s="34">
        <v>2</v>
      </c>
      <c r="M66" s="35">
        <f>(L66/L64)</f>
        <v>3.3898305084745763E-2</v>
      </c>
      <c r="N66" s="37"/>
      <c r="O66" s="34">
        <v>2</v>
      </c>
      <c r="P66" s="35">
        <f>(O66/O64)</f>
        <v>3.1746031746031744E-2</v>
      </c>
      <c r="Q66" s="37"/>
      <c r="R66" s="34">
        <v>1</v>
      </c>
      <c r="S66" s="35">
        <f>(R66/R64)</f>
        <v>1.4492753623188406E-2</v>
      </c>
      <c r="T66" s="37"/>
      <c r="U66" s="34">
        <v>0</v>
      </c>
      <c r="V66" s="35">
        <f>(U66/U64)</f>
        <v>0</v>
      </c>
      <c r="W66" s="37"/>
      <c r="X66" s="34">
        <v>0</v>
      </c>
      <c r="Y66" s="35">
        <f>(X66/X64)</f>
        <v>0</v>
      </c>
      <c r="Z66" s="37"/>
      <c r="AA66" s="34">
        <v>0</v>
      </c>
      <c r="AB66" s="35">
        <f>(AA66/AA64)</f>
        <v>0</v>
      </c>
      <c r="AC66" s="37"/>
      <c r="AD66" s="34">
        <v>0</v>
      </c>
      <c r="AE66" s="35">
        <f>(AD66/AD64)</f>
        <v>0</v>
      </c>
      <c r="AF66" s="37"/>
      <c r="AG66" s="34">
        <v>0</v>
      </c>
      <c r="AH66" s="35">
        <f>(AG66/AG64)</f>
        <v>0</v>
      </c>
      <c r="AI66" s="37"/>
      <c r="AJ66" s="34">
        <v>0</v>
      </c>
      <c r="AK66" s="35">
        <f>(AJ66/AJ64)</f>
        <v>0</v>
      </c>
      <c r="AL66" s="37"/>
      <c r="AM66" s="34">
        <v>0</v>
      </c>
      <c r="AN66" s="35">
        <f>(AM66/AM64)</f>
        <v>0</v>
      </c>
      <c r="AP66" s="34">
        <v>0</v>
      </c>
      <c r="AQ66" s="35">
        <f>(AP66/AP64)</f>
        <v>0</v>
      </c>
      <c r="AS66" s="34">
        <v>0</v>
      </c>
      <c r="AT66" s="35">
        <f>(AS66/AS64)</f>
        <v>0</v>
      </c>
      <c r="AV66" s="34">
        <v>0</v>
      </c>
      <c r="AW66" s="35">
        <f>(AV66/AV64)</f>
        <v>0</v>
      </c>
      <c r="AY66" s="34">
        <v>0</v>
      </c>
      <c r="AZ66" s="35">
        <f>(AY66/AY64)</f>
        <v>0</v>
      </c>
      <c r="BB66" s="34">
        <v>0</v>
      </c>
      <c r="BC66" s="35">
        <f>(BB66/BB64)</f>
        <v>0</v>
      </c>
      <c r="BE66" s="34">
        <v>0</v>
      </c>
      <c r="BF66" s="35">
        <f>(BE66/BE64)</f>
        <v>0</v>
      </c>
      <c r="BH66" s="34">
        <v>0</v>
      </c>
      <c r="BI66" s="35">
        <f>(BH66/BH64)</f>
        <v>0</v>
      </c>
      <c r="BK66" s="34">
        <v>0</v>
      </c>
      <c r="BL66" s="35">
        <f>(BK66/BK64)</f>
        <v>0</v>
      </c>
      <c r="BN66" s="34">
        <v>0</v>
      </c>
      <c r="BO66" s="35">
        <f>(BN66/BN64)</f>
        <v>0</v>
      </c>
      <c r="BQ66" s="34">
        <v>0</v>
      </c>
      <c r="BR66" s="35">
        <f>(BQ66/BQ64)</f>
        <v>0</v>
      </c>
      <c r="BT66" s="34">
        <v>0</v>
      </c>
      <c r="BU66" s="35">
        <f>(BT66/BT64)</f>
        <v>0</v>
      </c>
      <c r="BW66" s="34">
        <v>0</v>
      </c>
      <c r="BX66" s="35">
        <f>(BW66/BW64)</f>
        <v>0</v>
      </c>
      <c r="BZ66" s="34">
        <v>0</v>
      </c>
      <c r="CA66" s="35">
        <f>(BZ66/BZ64)</f>
        <v>0</v>
      </c>
      <c r="CC66" s="34">
        <v>0</v>
      </c>
      <c r="CD66" s="35">
        <f>(CC66/CC64)</f>
        <v>0</v>
      </c>
      <c r="CF66" s="34">
        <v>0</v>
      </c>
      <c r="CG66" s="35">
        <f>(CF66/CF64)</f>
        <v>0</v>
      </c>
      <c r="CI66" s="34">
        <v>0</v>
      </c>
      <c r="CJ66" s="35">
        <v>0</v>
      </c>
      <c r="CL66" s="34">
        <v>0</v>
      </c>
      <c r="CM66" s="35">
        <f t="shared" ref="CM66:CM73" si="78">CL66/2</f>
        <v>0</v>
      </c>
      <c r="CO66" s="86">
        <v>0</v>
      </c>
      <c r="CP66" s="35">
        <v>0</v>
      </c>
      <c r="CR66" s="34">
        <v>0</v>
      </c>
      <c r="CS66" s="35">
        <f t="shared" si="77"/>
        <v>0</v>
      </c>
      <c r="CU66" s="34">
        <v>0</v>
      </c>
      <c r="CV66" s="35">
        <v>0</v>
      </c>
      <c r="CX66" s="34">
        <v>0</v>
      </c>
      <c r="CY66" s="35">
        <v>0</v>
      </c>
      <c r="CZ66" s="34"/>
      <c r="DA66" s="34">
        <v>0</v>
      </c>
      <c r="DB66" s="35">
        <v>0</v>
      </c>
      <c r="DC66" s="34"/>
      <c r="DD66" s="34">
        <v>0</v>
      </c>
      <c r="DE66" s="35">
        <v>0</v>
      </c>
      <c r="DF66" s="34"/>
      <c r="DG66" s="34">
        <v>0</v>
      </c>
      <c r="DH66" s="35">
        <v>0</v>
      </c>
    </row>
    <row r="67" spans="1:112" s="27" customFormat="1" ht="10.15" customHeight="1">
      <c r="B67" s="118" t="s">
        <v>32</v>
      </c>
      <c r="C67" s="118"/>
      <c r="D67" s="118"/>
      <c r="E67" s="118"/>
      <c r="F67" s="34">
        <v>12</v>
      </c>
      <c r="G67" s="35">
        <f>(F67/F64)</f>
        <v>0.25531914893617019</v>
      </c>
      <c r="H67" s="34"/>
      <c r="I67" s="34">
        <v>11</v>
      </c>
      <c r="J67" s="35">
        <f>(I67/I64)</f>
        <v>0.2</v>
      </c>
      <c r="K67" s="36"/>
      <c r="L67" s="34">
        <v>15</v>
      </c>
      <c r="M67" s="35">
        <f>(L67/L64)</f>
        <v>0.25423728813559321</v>
      </c>
      <c r="N67" s="37"/>
      <c r="O67" s="34">
        <v>11</v>
      </c>
      <c r="P67" s="35">
        <f>(O67/O64)</f>
        <v>0.17460317460317459</v>
      </c>
      <c r="Q67" s="37"/>
      <c r="R67" s="34">
        <v>11</v>
      </c>
      <c r="S67" s="35">
        <f>(R67/R64)</f>
        <v>0.15942028985507245</v>
      </c>
      <c r="T67" s="37"/>
      <c r="U67" s="34">
        <v>12</v>
      </c>
      <c r="V67" s="35">
        <f>(U67/U64)</f>
        <v>0.33333333333333331</v>
      </c>
      <c r="W67" s="37"/>
      <c r="X67" s="34">
        <v>11</v>
      </c>
      <c r="Y67" s="35">
        <f>(X67/X64)</f>
        <v>0.28205128205128205</v>
      </c>
      <c r="Z67" s="37"/>
      <c r="AA67" s="34">
        <v>9</v>
      </c>
      <c r="AB67" s="35">
        <f>(AA67/AA64)</f>
        <v>0.3</v>
      </c>
      <c r="AC67" s="37"/>
      <c r="AD67" s="34">
        <v>10</v>
      </c>
      <c r="AE67" s="35">
        <f>(AD67/AD64)</f>
        <v>0.32258064516129031</v>
      </c>
      <c r="AF67" s="37"/>
      <c r="AG67" s="34">
        <v>11</v>
      </c>
      <c r="AH67" s="35">
        <f>(AG67/AG64)</f>
        <v>0.42307692307692307</v>
      </c>
      <c r="AI67" s="37"/>
      <c r="AJ67" s="34">
        <v>8</v>
      </c>
      <c r="AK67" s="35">
        <f>(AJ67/AJ64)</f>
        <v>0.32</v>
      </c>
      <c r="AL67" s="37"/>
      <c r="AM67" s="34">
        <v>8</v>
      </c>
      <c r="AN67" s="35">
        <f>(AM67/AM64)</f>
        <v>0.34782608695652173</v>
      </c>
      <c r="AP67" s="34">
        <v>5</v>
      </c>
      <c r="AQ67" s="35">
        <f>(AP67/AP64)</f>
        <v>0.3125</v>
      </c>
      <c r="AS67" s="34">
        <v>9</v>
      </c>
      <c r="AT67" s="35">
        <f>(AS67/AS64)</f>
        <v>0.6</v>
      </c>
      <c r="AV67" s="34">
        <v>7</v>
      </c>
      <c r="AW67" s="35">
        <f>(AV67/AV64)</f>
        <v>0.35</v>
      </c>
      <c r="AY67" s="34">
        <v>1</v>
      </c>
      <c r="AZ67" s="35">
        <f>(AY67/AY64)</f>
        <v>9.0909090909090912E-2</v>
      </c>
      <c r="BB67" s="34">
        <v>5</v>
      </c>
      <c r="BC67" s="35">
        <f>(BB67/BB64)</f>
        <v>0.5</v>
      </c>
      <c r="BE67" s="34">
        <v>2</v>
      </c>
      <c r="BF67" s="35">
        <f>(BE67/BE64)</f>
        <v>0.66666666666666663</v>
      </c>
      <c r="BH67" s="34">
        <v>5</v>
      </c>
      <c r="BI67" s="35">
        <f>(BH67/BH64)</f>
        <v>0.625</v>
      </c>
      <c r="BK67" s="34">
        <v>5</v>
      </c>
      <c r="BL67" s="35">
        <f>(BK67/BK64)</f>
        <v>0.83333333333333337</v>
      </c>
      <c r="BN67" s="34">
        <v>1</v>
      </c>
      <c r="BO67" s="35">
        <f>(BN67/BN64)</f>
        <v>0.5</v>
      </c>
      <c r="BQ67" s="34">
        <v>1</v>
      </c>
      <c r="BR67" s="35">
        <f>(BQ67/BQ64)</f>
        <v>0.5</v>
      </c>
      <c r="BT67" s="34">
        <v>3</v>
      </c>
      <c r="BU67" s="35">
        <f>(BT67/BT64)</f>
        <v>0.5</v>
      </c>
      <c r="BW67" s="34">
        <v>2</v>
      </c>
      <c r="BX67" s="35">
        <f>(BW67/BW64)</f>
        <v>0.5</v>
      </c>
      <c r="BZ67" s="34">
        <v>0</v>
      </c>
      <c r="CA67" s="35">
        <f>(BZ67/BZ64)</f>
        <v>0</v>
      </c>
      <c r="CC67" s="34">
        <v>1</v>
      </c>
      <c r="CD67" s="35">
        <f>(CC67/CC64)</f>
        <v>0.5</v>
      </c>
      <c r="CF67" s="34">
        <v>2</v>
      </c>
      <c r="CG67" s="35">
        <f>(CF67/CF64)</f>
        <v>1</v>
      </c>
      <c r="CI67" s="34">
        <v>0</v>
      </c>
      <c r="CJ67" s="35">
        <v>0</v>
      </c>
      <c r="CL67" s="34">
        <v>2</v>
      </c>
      <c r="CM67" s="35">
        <f t="shared" si="78"/>
        <v>1</v>
      </c>
      <c r="CO67" s="86">
        <v>0</v>
      </c>
      <c r="CP67" s="35">
        <v>0</v>
      </c>
      <c r="CR67" s="34">
        <v>0</v>
      </c>
      <c r="CS67" s="35">
        <f t="shared" si="77"/>
        <v>0</v>
      </c>
      <c r="CU67" s="34">
        <v>0</v>
      </c>
      <c r="CV67" s="35">
        <v>0</v>
      </c>
      <c r="CX67" s="34">
        <v>0</v>
      </c>
      <c r="CY67" s="35">
        <v>0</v>
      </c>
      <c r="CZ67" s="34"/>
      <c r="DA67" s="34">
        <v>0</v>
      </c>
      <c r="DB67" s="35">
        <v>0</v>
      </c>
      <c r="DC67" s="34"/>
      <c r="DD67" s="34">
        <v>0</v>
      </c>
      <c r="DE67" s="35">
        <v>0</v>
      </c>
      <c r="DF67" s="34"/>
      <c r="DG67" s="34">
        <v>0</v>
      </c>
      <c r="DH67" s="35">
        <v>0</v>
      </c>
    </row>
    <row r="68" spans="1:112" s="27" customFormat="1" ht="10.15" customHeight="1">
      <c r="B68" s="118" t="s">
        <v>10</v>
      </c>
      <c r="C68" s="118"/>
      <c r="D68" s="118"/>
      <c r="E68" s="118"/>
      <c r="F68" s="34">
        <v>0</v>
      </c>
      <c r="G68" s="35">
        <f>(F68/F64)</f>
        <v>0</v>
      </c>
      <c r="H68" s="34"/>
      <c r="I68" s="34">
        <v>0</v>
      </c>
      <c r="J68" s="35">
        <f>(I68/I64)</f>
        <v>0</v>
      </c>
      <c r="K68" s="36"/>
      <c r="L68" s="34">
        <v>2</v>
      </c>
      <c r="M68" s="35">
        <f>(L68/L64)</f>
        <v>3.3898305084745763E-2</v>
      </c>
      <c r="N68" s="37"/>
      <c r="O68" s="34">
        <v>3</v>
      </c>
      <c r="P68" s="35">
        <f>(O68/O64)</f>
        <v>4.7619047619047616E-2</v>
      </c>
      <c r="Q68" s="37"/>
      <c r="R68" s="34">
        <v>3</v>
      </c>
      <c r="S68" s="35">
        <f>(R68/R64)</f>
        <v>4.3478260869565216E-2</v>
      </c>
      <c r="T68" s="37"/>
      <c r="U68" s="34">
        <v>0</v>
      </c>
      <c r="V68" s="35">
        <f>(U68/U64)</f>
        <v>0</v>
      </c>
      <c r="W68" s="37"/>
      <c r="X68" s="34">
        <v>1</v>
      </c>
      <c r="Y68" s="35">
        <f>(X68/X64)</f>
        <v>2.564102564102564E-2</v>
      </c>
      <c r="Z68" s="37"/>
      <c r="AA68" s="34">
        <v>1</v>
      </c>
      <c r="AB68" s="35">
        <f>(AA68/AA64)</f>
        <v>3.3333333333333333E-2</v>
      </c>
      <c r="AC68" s="37"/>
      <c r="AD68" s="34">
        <v>1</v>
      </c>
      <c r="AE68" s="35">
        <f>(AD68/AD64)</f>
        <v>3.2258064516129031E-2</v>
      </c>
      <c r="AF68" s="37"/>
      <c r="AG68" s="34">
        <v>0</v>
      </c>
      <c r="AH68" s="35">
        <f>(AG68/AG64)</f>
        <v>0</v>
      </c>
      <c r="AI68" s="37"/>
      <c r="AJ68" s="34">
        <v>0</v>
      </c>
      <c r="AK68" s="35">
        <f>(AJ68/AJ64)</f>
        <v>0</v>
      </c>
      <c r="AL68" s="37"/>
      <c r="AM68" s="34">
        <v>1</v>
      </c>
      <c r="AN68" s="35">
        <f>(AM68/AM64)</f>
        <v>4.3478260869565216E-2</v>
      </c>
      <c r="AP68" s="34">
        <v>1</v>
      </c>
      <c r="AQ68" s="35">
        <f>(AP68/AP64)</f>
        <v>6.25E-2</v>
      </c>
      <c r="AS68" s="34">
        <v>1</v>
      </c>
      <c r="AT68" s="35">
        <f>(AS68/AS64)</f>
        <v>6.6666666666666666E-2</v>
      </c>
      <c r="AV68" s="34">
        <v>0</v>
      </c>
      <c r="AW68" s="35">
        <f>(AV68/AV64)</f>
        <v>0</v>
      </c>
      <c r="AY68" s="34">
        <v>1</v>
      </c>
      <c r="AZ68" s="35">
        <f>(AY68/AY64)</f>
        <v>9.0909090909090912E-2</v>
      </c>
      <c r="BB68" s="34">
        <v>1</v>
      </c>
      <c r="BC68" s="35">
        <f>(BB68/BB64)</f>
        <v>0.1</v>
      </c>
      <c r="BE68" s="34">
        <v>0</v>
      </c>
      <c r="BF68" s="35">
        <f>(BE68/BE64)</f>
        <v>0</v>
      </c>
      <c r="BH68" s="34">
        <v>0</v>
      </c>
      <c r="BI68" s="35">
        <f>(BH68/BH64)</f>
        <v>0</v>
      </c>
      <c r="BK68" s="34">
        <v>0</v>
      </c>
      <c r="BL68" s="35">
        <f>(BK68/BK64)</f>
        <v>0</v>
      </c>
      <c r="BN68" s="34">
        <v>0</v>
      </c>
      <c r="BO68" s="35">
        <f>(BN68/BN64)</f>
        <v>0</v>
      </c>
      <c r="BQ68" s="34">
        <v>0</v>
      </c>
      <c r="BR68" s="35">
        <f>(BQ68/BQ64)</f>
        <v>0</v>
      </c>
      <c r="BT68" s="34">
        <v>0</v>
      </c>
      <c r="BU68" s="35">
        <f>(BT68/BT64)</f>
        <v>0</v>
      </c>
      <c r="BW68" s="34">
        <v>0</v>
      </c>
      <c r="BX68" s="35">
        <f>(BW68/BW64)</f>
        <v>0</v>
      </c>
      <c r="BZ68" s="34">
        <v>0</v>
      </c>
      <c r="CA68" s="35">
        <f>(BZ68/BZ64)</f>
        <v>0</v>
      </c>
      <c r="CC68" s="34">
        <v>0</v>
      </c>
      <c r="CD68" s="35">
        <f>(CC68/CC64)</f>
        <v>0</v>
      </c>
      <c r="CF68" s="34">
        <v>0</v>
      </c>
      <c r="CG68" s="35">
        <f>(CF68/CF64)</f>
        <v>0</v>
      </c>
      <c r="CI68" s="34">
        <v>0</v>
      </c>
      <c r="CJ68" s="35">
        <v>0</v>
      </c>
      <c r="CL68" s="34">
        <v>0</v>
      </c>
      <c r="CM68" s="35">
        <f t="shared" si="78"/>
        <v>0</v>
      </c>
      <c r="CO68" s="86">
        <v>0</v>
      </c>
      <c r="CP68" s="35">
        <v>0</v>
      </c>
      <c r="CR68" s="34">
        <v>0</v>
      </c>
      <c r="CS68" s="35">
        <f t="shared" si="77"/>
        <v>0</v>
      </c>
      <c r="CU68" s="34">
        <v>0</v>
      </c>
      <c r="CV68" s="35">
        <v>0</v>
      </c>
      <c r="CX68" s="34">
        <v>0</v>
      </c>
      <c r="CY68" s="35">
        <v>0</v>
      </c>
      <c r="CZ68" s="34"/>
      <c r="DA68" s="34">
        <v>0</v>
      </c>
      <c r="DB68" s="35">
        <v>0</v>
      </c>
      <c r="DC68" s="34"/>
      <c r="DD68" s="34">
        <v>0</v>
      </c>
      <c r="DE68" s="35">
        <v>0</v>
      </c>
      <c r="DF68" s="34"/>
      <c r="DG68" s="34">
        <v>0</v>
      </c>
      <c r="DH68" s="35">
        <v>0</v>
      </c>
    </row>
    <row r="69" spans="1:112" s="27" customFormat="1" ht="10.15" customHeight="1">
      <c r="B69" s="118" t="s">
        <v>33</v>
      </c>
      <c r="C69" s="118"/>
      <c r="D69" s="118"/>
      <c r="E69" s="118"/>
      <c r="F69" s="34"/>
      <c r="G69" s="35"/>
      <c r="H69" s="34"/>
      <c r="I69" s="34"/>
      <c r="J69" s="35"/>
      <c r="K69" s="36"/>
      <c r="L69" s="34"/>
      <c r="M69" s="35"/>
      <c r="N69" s="37"/>
      <c r="O69" s="34"/>
      <c r="P69" s="35"/>
      <c r="Q69" s="37"/>
      <c r="R69" s="34"/>
      <c r="S69" s="35"/>
      <c r="T69" s="37"/>
      <c r="U69" s="34"/>
      <c r="V69" s="35"/>
      <c r="W69" s="37"/>
      <c r="X69" s="34"/>
      <c r="Y69" s="35"/>
      <c r="Z69" s="37"/>
      <c r="AA69" s="34"/>
      <c r="AB69" s="35"/>
      <c r="AC69" s="37"/>
      <c r="AD69" s="34"/>
      <c r="AE69" s="35"/>
      <c r="AF69" s="37"/>
      <c r="AG69" s="34"/>
      <c r="AH69" s="35"/>
      <c r="AI69" s="37"/>
      <c r="AJ69" s="34"/>
      <c r="AK69" s="35"/>
      <c r="AL69" s="37"/>
      <c r="AM69" s="34"/>
      <c r="AN69" s="35"/>
      <c r="AP69" s="34"/>
      <c r="AQ69" s="35"/>
      <c r="AS69" s="34"/>
      <c r="AT69" s="35"/>
      <c r="AV69" s="34"/>
      <c r="AW69" s="35"/>
      <c r="AY69" s="34"/>
      <c r="AZ69" s="35"/>
      <c r="BB69" s="34"/>
      <c r="BC69" s="35"/>
      <c r="BE69" s="34"/>
      <c r="BF69" s="35"/>
      <c r="BH69" s="34"/>
      <c r="BI69" s="35"/>
      <c r="BK69" s="34">
        <v>0</v>
      </c>
      <c r="BL69" s="35">
        <f>BK69/BK64</f>
        <v>0</v>
      </c>
      <c r="BN69" s="34">
        <v>0</v>
      </c>
      <c r="BO69" s="35">
        <f>BN69/BN64</f>
        <v>0</v>
      </c>
      <c r="BQ69" s="34">
        <v>0</v>
      </c>
      <c r="BR69" s="35">
        <f>BQ69/BQ64</f>
        <v>0</v>
      </c>
      <c r="BT69" s="34">
        <v>0</v>
      </c>
      <c r="BU69" s="35">
        <f>BT69/BT64</f>
        <v>0</v>
      </c>
      <c r="BW69" s="34">
        <v>0</v>
      </c>
      <c r="BX69" s="35">
        <f>BW69/BW64</f>
        <v>0</v>
      </c>
      <c r="BZ69" s="34">
        <v>0</v>
      </c>
      <c r="CA69" s="35">
        <f>BZ69/BZ64</f>
        <v>0</v>
      </c>
      <c r="CC69" s="34">
        <v>0</v>
      </c>
      <c r="CD69" s="35">
        <f>CC69/CC64</f>
        <v>0</v>
      </c>
      <c r="CF69" s="34">
        <v>0</v>
      </c>
      <c r="CG69" s="35">
        <f>CF69/CF64</f>
        <v>0</v>
      </c>
      <c r="CI69" s="34">
        <v>0</v>
      </c>
      <c r="CJ69" s="35">
        <v>0</v>
      </c>
      <c r="CL69" s="34">
        <v>0</v>
      </c>
      <c r="CM69" s="35">
        <f t="shared" si="78"/>
        <v>0</v>
      </c>
      <c r="CO69" s="86">
        <v>0</v>
      </c>
      <c r="CP69" s="35">
        <v>0</v>
      </c>
      <c r="CR69" s="34">
        <v>0</v>
      </c>
      <c r="CS69" s="35">
        <f t="shared" si="77"/>
        <v>0</v>
      </c>
      <c r="CU69" s="34">
        <v>0</v>
      </c>
      <c r="CV69" s="35">
        <v>0</v>
      </c>
      <c r="CX69" s="34">
        <v>0</v>
      </c>
      <c r="CY69" s="35">
        <v>0</v>
      </c>
      <c r="CZ69" s="34"/>
      <c r="DA69" s="34">
        <v>0</v>
      </c>
      <c r="DB69" s="35">
        <v>0</v>
      </c>
      <c r="DC69" s="34"/>
      <c r="DD69" s="34">
        <v>0</v>
      </c>
      <c r="DE69" s="35">
        <v>0</v>
      </c>
      <c r="DF69" s="34"/>
      <c r="DG69" s="34">
        <v>0</v>
      </c>
      <c r="DH69" s="35">
        <v>0</v>
      </c>
    </row>
    <row r="70" spans="1:112" s="27" customFormat="1" ht="10.15" customHeight="1">
      <c r="B70" s="118" t="s">
        <v>34</v>
      </c>
      <c r="C70" s="118"/>
      <c r="D70" s="118"/>
      <c r="E70" s="118"/>
      <c r="F70" s="34"/>
      <c r="G70" s="35"/>
      <c r="H70" s="34"/>
      <c r="I70" s="34"/>
      <c r="J70" s="35"/>
      <c r="K70" s="36"/>
      <c r="L70" s="34"/>
      <c r="M70" s="35"/>
      <c r="N70" s="37"/>
      <c r="O70" s="34"/>
      <c r="P70" s="35"/>
      <c r="Q70" s="37"/>
      <c r="R70" s="34"/>
      <c r="S70" s="35"/>
      <c r="T70" s="37"/>
      <c r="U70" s="34"/>
      <c r="V70" s="35"/>
      <c r="W70" s="37"/>
      <c r="X70" s="34"/>
      <c r="Y70" s="35"/>
      <c r="Z70" s="37"/>
      <c r="AA70" s="34"/>
      <c r="AB70" s="35"/>
      <c r="AC70" s="37"/>
      <c r="AD70" s="34"/>
      <c r="AE70" s="35"/>
      <c r="AF70" s="37"/>
      <c r="AG70" s="34"/>
      <c r="AH70" s="35"/>
      <c r="AI70" s="37"/>
      <c r="AJ70" s="34"/>
      <c r="AK70" s="35"/>
      <c r="AL70" s="37"/>
      <c r="AM70" s="34"/>
      <c r="AN70" s="35"/>
      <c r="AP70" s="34"/>
      <c r="AQ70" s="35"/>
      <c r="AS70" s="34"/>
      <c r="AT70" s="35"/>
      <c r="AV70" s="34"/>
      <c r="AW70" s="35"/>
      <c r="AY70" s="34"/>
      <c r="AZ70" s="35"/>
      <c r="BB70" s="34"/>
      <c r="BC70" s="35"/>
      <c r="BE70" s="34"/>
      <c r="BF70" s="35"/>
      <c r="BH70" s="34"/>
      <c r="BI70" s="35"/>
      <c r="BK70" s="34">
        <v>0</v>
      </c>
      <c r="BL70" s="35">
        <f>BK70/BK64</f>
        <v>0</v>
      </c>
      <c r="BN70" s="34">
        <v>0</v>
      </c>
      <c r="BO70" s="35">
        <f>BN70/BN64</f>
        <v>0</v>
      </c>
      <c r="BQ70" s="34">
        <v>0</v>
      </c>
      <c r="BR70" s="35">
        <f>BQ70/BQ64</f>
        <v>0</v>
      </c>
      <c r="BT70" s="34">
        <v>0</v>
      </c>
      <c r="BU70" s="35">
        <f>BT70/BT64</f>
        <v>0</v>
      </c>
      <c r="BW70" s="34">
        <v>0</v>
      </c>
      <c r="BX70" s="35">
        <f>BW70/BW64</f>
        <v>0</v>
      </c>
      <c r="BZ70" s="34">
        <v>0</v>
      </c>
      <c r="CA70" s="35">
        <f>BZ70/BZ64</f>
        <v>0</v>
      </c>
      <c r="CC70" s="34">
        <v>0</v>
      </c>
      <c r="CD70" s="35">
        <f>CC70/CC64</f>
        <v>0</v>
      </c>
      <c r="CF70" s="34">
        <v>0</v>
      </c>
      <c r="CG70" s="35">
        <f>CF70/CF64</f>
        <v>0</v>
      </c>
      <c r="CI70" s="34">
        <v>0</v>
      </c>
      <c r="CJ70" s="35">
        <v>0</v>
      </c>
      <c r="CL70" s="34">
        <v>0</v>
      </c>
      <c r="CM70" s="35">
        <f t="shared" si="78"/>
        <v>0</v>
      </c>
      <c r="CO70" s="86">
        <v>0</v>
      </c>
      <c r="CP70" s="35">
        <v>0</v>
      </c>
      <c r="CR70" s="34">
        <v>0</v>
      </c>
      <c r="CS70" s="35">
        <f t="shared" si="77"/>
        <v>0</v>
      </c>
      <c r="CU70" s="34">
        <v>0</v>
      </c>
      <c r="CV70" s="35">
        <v>0</v>
      </c>
      <c r="CX70" s="34">
        <v>0</v>
      </c>
      <c r="CY70" s="35">
        <v>0</v>
      </c>
      <c r="CZ70" s="34"/>
      <c r="DA70" s="34">
        <v>0</v>
      </c>
      <c r="DB70" s="35">
        <v>0</v>
      </c>
      <c r="DC70" s="34"/>
      <c r="DD70" s="34">
        <v>0</v>
      </c>
      <c r="DE70" s="35">
        <v>0</v>
      </c>
      <c r="DF70" s="34"/>
      <c r="DG70" s="34">
        <v>0</v>
      </c>
      <c r="DH70" s="35">
        <v>0</v>
      </c>
    </row>
    <row r="71" spans="1:112" s="27" customFormat="1" ht="10.15" customHeight="1">
      <c r="B71" s="90" t="s">
        <v>71</v>
      </c>
      <c r="C71" s="90"/>
      <c r="D71" s="90"/>
      <c r="E71" s="90"/>
      <c r="F71" s="34"/>
      <c r="G71" s="35"/>
      <c r="H71" s="34"/>
      <c r="I71" s="34"/>
      <c r="J71" s="35"/>
      <c r="K71" s="36"/>
      <c r="L71" s="34"/>
      <c r="M71" s="35"/>
      <c r="N71" s="37"/>
      <c r="O71" s="34"/>
      <c r="P71" s="35"/>
      <c r="Q71" s="37"/>
      <c r="R71" s="34"/>
      <c r="S71" s="35"/>
      <c r="T71" s="37"/>
      <c r="U71" s="34"/>
      <c r="V71" s="35"/>
      <c r="W71" s="37"/>
      <c r="X71" s="34"/>
      <c r="Y71" s="35"/>
      <c r="Z71" s="37"/>
      <c r="AA71" s="34"/>
      <c r="AB71" s="35"/>
      <c r="AC71" s="37"/>
      <c r="AD71" s="34"/>
      <c r="AE71" s="35"/>
      <c r="AF71" s="37"/>
      <c r="AG71" s="34"/>
      <c r="AH71" s="35"/>
      <c r="AI71" s="37"/>
      <c r="AJ71" s="34"/>
      <c r="AK71" s="35"/>
      <c r="AL71" s="37"/>
      <c r="AM71" s="34"/>
      <c r="AN71" s="35"/>
      <c r="AP71" s="34"/>
      <c r="AQ71" s="35"/>
      <c r="AS71" s="34"/>
      <c r="AT71" s="35"/>
      <c r="AV71" s="34"/>
      <c r="AW71" s="35"/>
      <c r="AY71" s="34"/>
      <c r="AZ71" s="35"/>
      <c r="BB71" s="34"/>
      <c r="BC71" s="35"/>
      <c r="BE71" s="34"/>
      <c r="BF71" s="35"/>
      <c r="BH71" s="34"/>
      <c r="BI71" s="35"/>
      <c r="BK71" s="34"/>
      <c r="BL71" s="35"/>
      <c r="BN71" s="34"/>
      <c r="BO71" s="35"/>
      <c r="BQ71" s="34"/>
      <c r="BR71" s="35"/>
      <c r="BT71" s="34"/>
      <c r="BU71" s="35"/>
      <c r="BW71" s="34"/>
      <c r="BX71" s="35"/>
      <c r="BZ71" s="34"/>
      <c r="CA71" s="35"/>
      <c r="CC71" s="34"/>
      <c r="CD71" s="35"/>
      <c r="CF71" s="106" t="s">
        <v>59</v>
      </c>
      <c r="CG71" s="106" t="s">
        <v>61</v>
      </c>
      <c r="CI71" s="106" t="s">
        <v>59</v>
      </c>
      <c r="CJ71" s="106" t="s">
        <v>62</v>
      </c>
      <c r="CL71" s="106" t="s">
        <v>59</v>
      </c>
      <c r="CM71" s="106" t="s">
        <v>63</v>
      </c>
      <c r="CO71" s="86">
        <v>0</v>
      </c>
      <c r="CP71" s="35">
        <v>0</v>
      </c>
      <c r="CR71" s="34">
        <v>2</v>
      </c>
      <c r="CS71" s="35">
        <f t="shared" si="77"/>
        <v>1</v>
      </c>
      <c r="CU71" s="34">
        <v>0</v>
      </c>
      <c r="CV71" s="35">
        <v>0</v>
      </c>
      <c r="CX71" s="34">
        <v>0</v>
      </c>
      <c r="CY71" s="35">
        <v>0</v>
      </c>
      <c r="CZ71" s="34"/>
      <c r="DA71" s="34">
        <v>0</v>
      </c>
      <c r="DB71" s="35">
        <v>0</v>
      </c>
      <c r="DC71" s="34"/>
      <c r="DD71" s="34">
        <v>0</v>
      </c>
      <c r="DE71" s="35">
        <v>0</v>
      </c>
      <c r="DF71" s="34"/>
      <c r="DG71" s="34">
        <v>0</v>
      </c>
      <c r="DH71" s="35">
        <v>0</v>
      </c>
    </row>
    <row r="72" spans="1:112" s="27" customFormat="1" ht="10.15" customHeight="1">
      <c r="C72" s="119" t="s">
        <v>68</v>
      </c>
      <c r="D72" s="119"/>
      <c r="E72" s="119"/>
      <c r="F72" s="34">
        <f>SUM(F65:F68)</f>
        <v>15</v>
      </c>
      <c r="G72" s="35">
        <f>(F72/F64)</f>
        <v>0.31914893617021278</v>
      </c>
      <c r="H72" s="34"/>
      <c r="I72" s="34">
        <f>SUM(I65:I68)</f>
        <v>14</v>
      </c>
      <c r="J72" s="35">
        <f>(I72/I64)</f>
        <v>0.25454545454545452</v>
      </c>
      <c r="K72" s="36"/>
      <c r="L72" s="34">
        <f>SUM(L65:L68)</f>
        <v>22</v>
      </c>
      <c r="M72" s="35">
        <f>(L72/L64)</f>
        <v>0.3728813559322034</v>
      </c>
      <c r="N72" s="37"/>
      <c r="O72" s="34">
        <f>SUM(O65:O68)</f>
        <v>20</v>
      </c>
      <c r="P72" s="35">
        <f>(O72/O64)</f>
        <v>0.31746031746031744</v>
      </c>
      <c r="Q72" s="37"/>
      <c r="R72" s="34">
        <f>SUM(R65:R68)</f>
        <v>22</v>
      </c>
      <c r="S72" s="35">
        <f>(R72/R64)</f>
        <v>0.3188405797101449</v>
      </c>
      <c r="T72" s="37"/>
      <c r="U72" s="34">
        <f>SUM(U65:U68)</f>
        <v>13</v>
      </c>
      <c r="V72" s="35">
        <f>(U72/U64)</f>
        <v>0.3611111111111111</v>
      </c>
      <c r="W72" s="37"/>
      <c r="X72" s="34">
        <f>SUM(X65:X68)</f>
        <v>13</v>
      </c>
      <c r="Y72" s="35">
        <f>(X72/X64)</f>
        <v>0.33333333333333331</v>
      </c>
      <c r="Z72" s="37"/>
      <c r="AA72" s="34">
        <f>SUM(AA65:AA68)</f>
        <v>11</v>
      </c>
      <c r="AB72" s="35">
        <f>(AA72/AA64)</f>
        <v>0.36666666666666664</v>
      </c>
      <c r="AC72" s="37"/>
      <c r="AD72" s="34">
        <f>SUM(AD65:AD68)</f>
        <v>11</v>
      </c>
      <c r="AE72" s="35">
        <f>(AD72/AD64)</f>
        <v>0.35483870967741937</v>
      </c>
      <c r="AF72" s="37"/>
      <c r="AG72" s="34">
        <f>SUM(AG65:AG68)</f>
        <v>11</v>
      </c>
      <c r="AH72" s="35">
        <f>(AG72/AG64)</f>
        <v>0.42307692307692307</v>
      </c>
      <c r="AI72" s="37"/>
      <c r="AJ72" s="34">
        <f>SUM(AJ65:AJ68)</f>
        <v>8</v>
      </c>
      <c r="AK72" s="35">
        <f>(AJ72/AJ64)</f>
        <v>0.32</v>
      </c>
      <c r="AL72" s="37"/>
      <c r="AM72" s="34">
        <f>SUM(AM65:AM68)</f>
        <v>9</v>
      </c>
      <c r="AN72" s="35">
        <f>(AM72/AM64)</f>
        <v>0.39130434782608697</v>
      </c>
      <c r="AP72" s="34">
        <f>SUM(AP65:AP68)</f>
        <v>6</v>
      </c>
      <c r="AQ72" s="35">
        <f>(AP72/AP64)</f>
        <v>0.375</v>
      </c>
      <c r="AS72" s="34">
        <f>SUM(AS65:AS68)</f>
        <v>10</v>
      </c>
      <c r="AT72" s="35">
        <f>(AS72/AS64)</f>
        <v>0.66666666666666663</v>
      </c>
      <c r="AV72" s="34">
        <f>SUM(AV65:AV68)</f>
        <v>7</v>
      </c>
      <c r="AW72" s="35">
        <f>(AV72/AV64)</f>
        <v>0.35</v>
      </c>
      <c r="AY72" s="34">
        <f>SUM(AY65:AY68)</f>
        <v>2</v>
      </c>
      <c r="AZ72" s="35">
        <f>(AY72/AY64)</f>
        <v>0.18181818181818182</v>
      </c>
      <c r="BB72" s="34">
        <f>SUM(BB65:BB68)</f>
        <v>6</v>
      </c>
      <c r="BC72" s="35">
        <f>(BB72/BB64)</f>
        <v>0.6</v>
      </c>
      <c r="BE72" s="34">
        <f>SUM(BE65:BE68)</f>
        <v>2</v>
      </c>
      <c r="BF72" s="35">
        <f>(BE72/BE64)</f>
        <v>0.66666666666666663</v>
      </c>
      <c r="BH72" s="34">
        <f>SUM(BH65:BH68)</f>
        <v>5</v>
      </c>
      <c r="BI72" s="35">
        <f>(BH72/BH64)</f>
        <v>0.625</v>
      </c>
      <c r="BK72" s="34">
        <f>SUM(BK65:BK70)</f>
        <v>5</v>
      </c>
      <c r="BL72" s="35">
        <f>(BK72/BK64)</f>
        <v>0.83333333333333337</v>
      </c>
      <c r="BN72" s="34">
        <f>SUM(BN65:BN70)</f>
        <v>1</v>
      </c>
      <c r="BO72" s="35">
        <f>(BN72/BN64)</f>
        <v>0.5</v>
      </c>
      <c r="BQ72" s="34">
        <f>SUM(BQ65:BQ70)</f>
        <v>1</v>
      </c>
      <c r="BR72" s="35">
        <f>(BQ72/BQ64)</f>
        <v>0.5</v>
      </c>
      <c r="BT72" s="34">
        <f>SUM(BT65:BT70)</f>
        <v>3</v>
      </c>
      <c r="BU72" s="35">
        <f>(BT72/BT64)</f>
        <v>0.5</v>
      </c>
      <c r="BW72" s="34">
        <f>SUM(BW65:BW70)</f>
        <v>2</v>
      </c>
      <c r="BX72" s="35">
        <f>(BW72/BW64)</f>
        <v>0.5</v>
      </c>
      <c r="BZ72" s="34">
        <f>SUM(BZ65:BZ70)</f>
        <v>0</v>
      </c>
      <c r="CA72" s="35">
        <f>(BZ72/BZ64)</f>
        <v>0</v>
      </c>
      <c r="CC72" s="34">
        <f>SUM(CC65:CC70)</f>
        <v>1</v>
      </c>
      <c r="CD72" s="35">
        <f>(CC72/CC64)</f>
        <v>0.5</v>
      </c>
      <c r="CF72" s="34">
        <f>SUM(CF65:CF70)</f>
        <v>2</v>
      </c>
      <c r="CG72" s="35">
        <f>(CF72/CF64)</f>
        <v>1</v>
      </c>
      <c r="CI72" s="34">
        <v>0</v>
      </c>
      <c r="CJ72" s="35">
        <v>0</v>
      </c>
      <c r="CL72" s="34">
        <v>2</v>
      </c>
      <c r="CM72" s="35">
        <f t="shared" si="78"/>
        <v>1</v>
      </c>
      <c r="CO72" s="86">
        <v>0</v>
      </c>
      <c r="CP72" s="35">
        <v>0</v>
      </c>
      <c r="CR72" s="34">
        <f>SUM(CR65:CR71)</f>
        <v>2</v>
      </c>
      <c r="CS72" s="35">
        <f t="shared" si="77"/>
        <v>1</v>
      </c>
      <c r="CU72" s="34">
        <f>SUM(CU65:CU71)</f>
        <v>0</v>
      </c>
      <c r="CV72" s="35">
        <v>0</v>
      </c>
      <c r="CX72" s="34">
        <f>SUM(CX65:CX71)</f>
        <v>0</v>
      </c>
      <c r="CY72" s="35">
        <v>0</v>
      </c>
      <c r="CZ72" s="34"/>
      <c r="DA72" s="34">
        <f>SUM(DA65:DA71)</f>
        <v>0</v>
      </c>
      <c r="DB72" s="35">
        <v>0</v>
      </c>
      <c r="DC72" s="34"/>
      <c r="DD72" s="34">
        <f>SUM(DD65:DD71)</f>
        <v>0</v>
      </c>
      <c r="DE72" s="35">
        <v>0</v>
      </c>
      <c r="DF72" s="34"/>
      <c r="DG72" s="34">
        <f>SUM(DG65:DG71)</f>
        <v>0</v>
      </c>
      <c r="DH72" s="35">
        <v>0</v>
      </c>
    </row>
    <row r="73" spans="1:112" s="27" customFormat="1" ht="10.15" customHeight="1">
      <c r="B73" s="90" t="s">
        <v>38</v>
      </c>
      <c r="C73" s="90"/>
      <c r="D73" s="90"/>
      <c r="E73" s="90"/>
      <c r="F73" s="34">
        <v>32</v>
      </c>
      <c r="G73" s="35">
        <f>(F73/F64)</f>
        <v>0.68085106382978722</v>
      </c>
      <c r="H73" s="34"/>
      <c r="I73" s="34">
        <v>41</v>
      </c>
      <c r="J73" s="35">
        <f>(I73/I64)</f>
        <v>0.74545454545454548</v>
      </c>
      <c r="K73" s="36"/>
      <c r="L73" s="34">
        <v>37</v>
      </c>
      <c r="M73" s="35">
        <f>(L73/L64)</f>
        <v>0.6271186440677966</v>
      </c>
      <c r="N73" s="37"/>
      <c r="O73" s="34">
        <v>43</v>
      </c>
      <c r="P73" s="35">
        <f>(O73/O64)</f>
        <v>0.68253968253968256</v>
      </c>
      <c r="Q73" s="37"/>
      <c r="R73" s="34">
        <v>47</v>
      </c>
      <c r="S73" s="35">
        <f>(R73/R64)</f>
        <v>0.6811594202898551</v>
      </c>
      <c r="T73" s="37"/>
      <c r="U73" s="34">
        <f>21+2</f>
        <v>23</v>
      </c>
      <c r="V73" s="35">
        <f>(U73/U64)</f>
        <v>0.63888888888888884</v>
      </c>
      <c r="W73" s="37"/>
      <c r="X73" s="34">
        <f>24+2</f>
        <v>26</v>
      </c>
      <c r="Y73" s="35">
        <f>(X73/X64)</f>
        <v>0.66666666666666663</v>
      </c>
      <c r="Z73" s="37"/>
      <c r="AA73" s="34">
        <v>19</v>
      </c>
      <c r="AB73" s="35">
        <f>(AA73/AA64)</f>
        <v>0.6333333333333333</v>
      </c>
      <c r="AC73" s="37"/>
      <c r="AD73" s="34">
        <v>20</v>
      </c>
      <c r="AE73" s="35">
        <f>(AD73/AD64)</f>
        <v>0.64516129032258063</v>
      </c>
      <c r="AF73" s="37"/>
      <c r="AG73" s="34">
        <v>15</v>
      </c>
      <c r="AH73" s="35">
        <f>(AG73/AG64)</f>
        <v>0.57692307692307687</v>
      </c>
      <c r="AI73" s="37"/>
      <c r="AJ73" s="34">
        <f>15+2</f>
        <v>17</v>
      </c>
      <c r="AK73" s="35">
        <f>(AJ73/AJ64)</f>
        <v>0.68</v>
      </c>
      <c r="AL73" s="37"/>
      <c r="AM73" s="34">
        <v>14</v>
      </c>
      <c r="AN73" s="35">
        <f>(AM73/AM64)</f>
        <v>0.60869565217391308</v>
      </c>
      <c r="AP73" s="34">
        <v>10</v>
      </c>
      <c r="AQ73" s="35">
        <f>(AP73/AP64)</f>
        <v>0.625</v>
      </c>
      <c r="AS73" s="34">
        <v>5</v>
      </c>
      <c r="AT73" s="35">
        <f>(AS73/AS64)</f>
        <v>0.33333333333333331</v>
      </c>
      <c r="AV73" s="34">
        <v>13</v>
      </c>
      <c r="AW73" s="35">
        <f>(AV73/AV64)</f>
        <v>0.65</v>
      </c>
      <c r="AY73" s="34">
        <v>9</v>
      </c>
      <c r="AZ73" s="35">
        <f>(AY73/AY64)</f>
        <v>0.81818181818181823</v>
      </c>
      <c r="BB73" s="34">
        <v>4</v>
      </c>
      <c r="BC73" s="35">
        <f>(BB73/BB64)</f>
        <v>0.4</v>
      </c>
      <c r="BE73" s="34">
        <v>1</v>
      </c>
      <c r="BF73" s="35">
        <f>(BE73/BE64)</f>
        <v>0.33333333333333331</v>
      </c>
      <c r="BH73" s="34">
        <v>3</v>
      </c>
      <c r="BI73" s="35">
        <f>(BH73/BH64)</f>
        <v>0.375</v>
      </c>
      <c r="BK73" s="34">
        <v>1</v>
      </c>
      <c r="BL73" s="35">
        <f>(BK73/BK64)</f>
        <v>0.16666666666666666</v>
      </c>
      <c r="BN73" s="34">
        <v>1</v>
      </c>
      <c r="BO73" s="35">
        <f>(BN73/BN64)</f>
        <v>0.5</v>
      </c>
      <c r="BQ73" s="34">
        <v>1</v>
      </c>
      <c r="BR73" s="35">
        <f>(BQ73/BQ64)</f>
        <v>0.5</v>
      </c>
      <c r="BT73" s="34">
        <v>3</v>
      </c>
      <c r="BU73" s="35">
        <f>(BT73/BT64)</f>
        <v>0.5</v>
      </c>
      <c r="BW73" s="34">
        <v>2</v>
      </c>
      <c r="BX73" s="35">
        <f>(BW73/BW64)</f>
        <v>0.5</v>
      </c>
      <c r="BZ73" s="34">
        <v>1</v>
      </c>
      <c r="CA73" s="35">
        <f>(BZ73/BZ64)</f>
        <v>1</v>
      </c>
      <c r="CC73" s="34">
        <v>1</v>
      </c>
      <c r="CD73" s="35">
        <f>(CC73/CC64)</f>
        <v>0.5</v>
      </c>
      <c r="CF73" s="34">
        <v>0</v>
      </c>
      <c r="CG73" s="35">
        <f>(CF73/CF64)</f>
        <v>0</v>
      </c>
      <c r="CI73" s="34">
        <v>0</v>
      </c>
      <c r="CJ73" s="35">
        <v>0</v>
      </c>
      <c r="CL73" s="34">
        <v>0</v>
      </c>
      <c r="CM73" s="35">
        <f t="shared" si="78"/>
        <v>0</v>
      </c>
      <c r="CO73" s="86">
        <v>0</v>
      </c>
      <c r="CP73" s="35">
        <v>0</v>
      </c>
      <c r="CR73" s="34">
        <v>0</v>
      </c>
      <c r="CS73" s="35">
        <f t="shared" si="77"/>
        <v>0</v>
      </c>
      <c r="CU73" s="34">
        <v>0</v>
      </c>
      <c r="CV73" s="35">
        <v>0</v>
      </c>
      <c r="CX73" s="34">
        <v>0</v>
      </c>
      <c r="CY73" s="35">
        <v>0</v>
      </c>
      <c r="CZ73" s="34"/>
      <c r="DA73" s="34">
        <v>0</v>
      </c>
      <c r="DB73" s="35">
        <v>0</v>
      </c>
      <c r="DC73" s="34"/>
      <c r="DD73" s="34">
        <v>0</v>
      </c>
      <c r="DE73" s="35">
        <v>0</v>
      </c>
      <c r="DF73" s="34"/>
      <c r="DG73" s="34">
        <v>0</v>
      </c>
      <c r="DH73" s="35">
        <v>0</v>
      </c>
    </row>
    <row r="74" spans="1:112" s="33" customFormat="1" ht="10.15" customHeight="1">
      <c r="B74" s="129" t="s">
        <v>58</v>
      </c>
      <c r="C74" s="129"/>
      <c r="D74" s="129"/>
      <c r="E74" s="129"/>
      <c r="F74" s="41"/>
      <c r="G74" s="38"/>
      <c r="H74" s="41"/>
      <c r="I74" s="41"/>
      <c r="J74" s="38"/>
      <c r="K74" s="39"/>
      <c r="L74" s="41"/>
      <c r="M74" s="38"/>
      <c r="N74" s="40"/>
      <c r="O74" s="41"/>
      <c r="P74" s="38"/>
      <c r="Q74" s="40"/>
      <c r="R74" s="41"/>
      <c r="S74" s="38"/>
      <c r="T74" s="40"/>
      <c r="U74" s="41"/>
      <c r="V74" s="38"/>
      <c r="W74" s="40"/>
      <c r="X74" s="41"/>
      <c r="Y74" s="38"/>
      <c r="Z74" s="40"/>
      <c r="AA74" s="41"/>
      <c r="AB74" s="38"/>
      <c r="AC74" s="40"/>
      <c r="AD74" s="41"/>
      <c r="AE74" s="38"/>
      <c r="AF74" s="40"/>
      <c r="AG74" s="41"/>
      <c r="AH74" s="38"/>
      <c r="AI74" s="40"/>
      <c r="AJ74" s="41"/>
      <c r="AK74" s="38"/>
      <c r="AL74" s="40"/>
      <c r="AM74" s="41"/>
      <c r="AN74" s="38"/>
      <c r="AP74" s="41"/>
      <c r="AQ74" s="38"/>
      <c r="AS74" s="41"/>
      <c r="AT74" s="38"/>
      <c r="AV74" s="41"/>
      <c r="AW74" s="38"/>
      <c r="AY74" s="41"/>
      <c r="AZ74" s="38"/>
      <c r="BB74" s="41"/>
      <c r="BC74" s="38"/>
      <c r="BE74" s="41"/>
      <c r="BF74" s="38"/>
      <c r="BH74" s="41"/>
      <c r="BI74" s="38"/>
      <c r="BK74" s="41"/>
      <c r="BL74" s="38"/>
      <c r="BN74" s="41"/>
      <c r="BO74" s="38"/>
      <c r="BQ74" s="41"/>
      <c r="BR74" s="38"/>
      <c r="BT74" s="41"/>
      <c r="BU74" s="38"/>
      <c r="BW74" s="41"/>
      <c r="BX74" s="38"/>
      <c r="BZ74" s="41"/>
      <c r="CA74" s="38"/>
      <c r="CC74" s="91" t="s">
        <v>59</v>
      </c>
      <c r="CD74" s="91" t="s">
        <v>60</v>
      </c>
      <c r="CF74" s="91" t="s">
        <v>59</v>
      </c>
      <c r="CG74" s="91" t="s">
        <v>61</v>
      </c>
      <c r="CI74" s="91" t="s">
        <v>59</v>
      </c>
      <c r="CJ74" s="91" t="s">
        <v>62</v>
      </c>
      <c r="CL74" s="91" t="s">
        <v>59</v>
      </c>
      <c r="CM74" s="91" t="s">
        <v>63</v>
      </c>
      <c r="CO74" s="87">
        <v>0</v>
      </c>
      <c r="CP74" s="38">
        <v>0</v>
      </c>
      <c r="CR74" s="41">
        <v>0</v>
      </c>
      <c r="CS74" s="38">
        <f t="shared" si="77"/>
        <v>0</v>
      </c>
      <c r="CU74" s="41">
        <v>0</v>
      </c>
      <c r="CV74" s="38">
        <v>0</v>
      </c>
      <c r="CX74" s="41">
        <v>0</v>
      </c>
      <c r="CY74" s="38">
        <v>0</v>
      </c>
      <c r="CZ74" s="41"/>
      <c r="DA74" s="41">
        <v>0</v>
      </c>
      <c r="DB74" s="38">
        <v>0</v>
      </c>
      <c r="DC74" s="41"/>
      <c r="DD74" s="41">
        <v>0</v>
      </c>
      <c r="DE74" s="38">
        <v>0</v>
      </c>
      <c r="DF74" s="41"/>
      <c r="DG74" s="41">
        <v>0</v>
      </c>
      <c r="DH74" s="38">
        <v>0</v>
      </c>
    </row>
    <row r="75" spans="1:112" s="1" customFormat="1">
      <c r="A75" s="72" t="s">
        <v>53</v>
      </c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</row>
    <row r="76" spans="1:112" s="17" customFormat="1" ht="15" customHeight="1">
      <c r="A76" s="17" t="s">
        <v>0</v>
      </c>
    </row>
    <row r="77" spans="1:112" s="15" customFormat="1" ht="24" customHeight="1">
      <c r="A77" s="75" t="s">
        <v>84</v>
      </c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</row>
    <row r="78" spans="1:112" s="45" customFormat="1" ht="15" customHeight="1">
      <c r="A78" s="72" t="s">
        <v>44</v>
      </c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2"/>
      <c r="CA78" s="72"/>
      <c r="CB78" s="72"/>
      <c r="CC78" s="72"/>
      <c r="CD78" s="72"/>
      <c r="CE78" s="72"/>
    </row>
    <row r="79" spans="1:112" s="2" customFormat="1" ht="6" customHeight="1">
      <c r="A79" s="16"/>
      <c r="B79" s="16"/>
      <c r="C79" s="16"/>
      <c r="D79" s="16"/>
      <c r="E79" s="16"/>
      <c r="F79" s="12"/>
      <c r="G79" s="11"/>
      <c r="H79" s="3"/>
      <c r="I79" s="12"/>
      <c r="J79" s="11"/>
      <c r="K79" s="5"/>
      <c r="L79" s="12"/>
      <c r="M79" s="11"/>
      <c r="N79" s="6"/>
      <c r="O79" s="12"/>
      <c r="P79" s="11"/>
      <c r="Q79" s="11"/>
      <c r="T79" s="11"/>
      <c r="W79" s="11"/>
      <c r="Z79" s="11"/>
      <c r="AC79" s="11"/>
      <c r="AF79" s="11"/>
      <c r="AI79" s="11"/>
      <c r="AL79" s="11"/>
    </row>
    <row r="80" spans="1:112" s="43" customFormat="1" ht="15.75" customHeight="1">
      <c r="A80" s="42"/>
      <c r="B80" s="42"/>
      <c r="C80" s="42"/>
      <c r="D80" s="42"/>
      <c r="E80" s="42"/>
      <c r="F80" s="42" t="s">
        <v>21</v>
      </c>
      <c r="G80" s="42"/>
      <c r="I80" s="42" t="s">
        <v>20</v>
      </c>
      <c r="J80" s="42"/>
      <c r="L80" s="42" t="s">
        <v>19</v>
      </c>
      <c r="M80" s="42"/>
      <c r="O80" s="42" t="s">
        <v>18</v>
      </c>
      <c r="P80" s="42"/>
      <c r="R80" s="42" t="s">
        <v>12</v>
      </c>
      <c r="S80" s="42"/>
      <c r="U80" s="42" t="s">
        <v>17</v>
      </c>
      <c r="V80" s="42"/>
      <c r="X80" s="42" t="s">
        <v>16</v>
      </c>
      <c r="Y80" s="42"/>
      <c r="AA80" s="42" t="s">
        <v>15</v>
      </c>
      <c r="AB80" s="42"/>
      <c r="AD80" s="42" t="s">
        <v>14</v>
      </c>
      <c r="AE80" s="42"/>
      <c r="AG80" s="42" t="s">
        <v>13</v>
      </c>
      <c r="AH80" s="42"/>
      <c r="AJ80" s="42" t="s">
        <v>22</v>
      </c>
      <c r="AK80" s="42"/>
      <c r="AM80" s="42" t="s">
        <v>24</v>
      </c>
      <c r="AN80" s="42"/>
      <c r="AP80" s="122" t="s">
        <v>25</v>
      </c>
      <c r="AQ80" s="122"/>
      <c r="AS80" s="122" t="s">
        <v>26</v>
      </c>
      <c r="AT80" s="122"/>
      <c r="AV80" s="122" t="s">
        <v>27</v>
      </c>
      <c r="AW80" s="122"/>
      <c r="AY80" s="124" t="s">
        <v>46</v>
      </c>
      <c r="AZ80" s="124"/>
      <c r="BB80" s="122" t="s">
        <v>28</v>
      </c>
      <c r="BC80" s="122"/>
      <c r="BE80" s="122" t="s">
        <v>29</v>
      </c>
      <c r="BF80" s="122"/>
      <c r="BH80" s="122" t="s">
        <v>30</v>
      </c>
      <c r="BI80" s="122"/>
      <c r="BK80" s="122" t="s">
        <v>31</v>
      </c>
      <c r="BL80" s="122"/>
      <c r="BN80" s="122" t="s">
        <v>35</v>
      </c>
      <c r="BO80" s="122"/>
      <c r="BQ80" s="122" t="s">
        <v>36</v>
      </c>
      <c r="BR80" s="122"/>
      <c r="BT80" s="122" t="s">
        <v>37</v>
      </c>
      <c r="BU80" s="122"/>
      <c r="BW80" s="117" t="s">
        <v>39</v>
      </c>
      <c r="BX80" s="117"/>
      <c r="BZ80" s="117" t="s">
        <v>40</v>
      </c>
      <c r="CA80" s="117"/>
      <c r="CC80" s="117" t="s">
        <v>41</v>
      </c>
      <c r="CD80" s="117"/>
      <c r="CF80" s="117" t="s">
        <v>42</v>
      </c>
      <c r="CG80" s="117"/>
      <c r="CI80" s="117" t="s">
        <v>43</v>
      </c>
      <c r="CJ80" s="117"/>
      <c r="CL80" s="117" t="s">
        <v>57</v>
      </c>
      <c r="CM80" s="117"/>
      <c r="CO80" s="128" t="s">
        <v>65</v>
      </c>
      <c r="CP80" s="117"/>
      <c r="CR80" s="117" t="s">
        <v>70</v>
      </c>
      <c r="CS80" s="117"/>
      <c r="CU80" s="117" t="s">
        <v>79</v>
      </c>
      <c r="CV80" s="117"/>
      <c r="CX80" s="43" t="s">
        <v>81</v>
      </c>
      <c r="DA80" s="43" t="s">
        <v>82</v>
      </c>
      <c r="DD80" s="43" t="s">
        <v>83</v>
      </c>
      <c r="DG80" s="43" t="s">
        <v>90</v>
      </c>
    </row>
    <row r="81" spans="1:112" s="71" customFormat="1" ht="12" customHeight="1">
      <c r="A81" s="66" t="s">
        <v>85</v>
      </c>
      <c r="B81" s="66"/>
      <c r="C81" s="66"/>
      <c r="D81" s="66"/>
      <c r="E81" s="66"/>
      <c r="F81" s="67" t="s">
        <v>1</v>
      </c>
      <c r="G81" s="68" t="s">
        <v>2</v>
      </c>
      <c r="H81" s="69"/>
      <c r="I81" s="67" t="s">
        <v>1</v>
      </c>
      <c r="J81" s="68" t="s">
        <v>2</v>
      </c>
      <c r="K81" s="69"/>
      <c r="L81" s="67" t="s">
        <v>1</v>
      </c>
      <c r="M81" s="68" t="s">
        <v>2</v>
      </c>
      <c r="N81" s="70"/>
      <c r="O81" s="67" t="s">
        <v>1</v>
      </c>
      <c r="P81" s="68" t="s">
        <v>2</v>
      </c>
      <c r="Q81" s="70"/>
      <c r="R81" s="67" t="s">
        <v>1</v>
      </c>
      <c r="S81" s="68" t="s">
        <v>2</v>
      </c>
      <c r="T81" s="70"/>
      <c r="U81" s="67" t="s">
        <v>1</v>
      </c>
      <c r="V81" s="68" t="s">
        <v>2</v>
      </c>
      <c r="W81" s="70"/>
      <c r="X81" s="67" t="s">
        <v>1</v>
      </c>
      <c r="Y81" s="68" t="s">
        <v>2</v>
      </c>
      <c r="Z81" s="70"/>
      <c r="AA81" s="67" t="s">
        <v>1</v>
      </c>
      <c r="AB81" s="68" t="s">
        <v>2</v>
      </c>
      <c r="AC81" s="70"/>
      <c r="AD81" s="67" t="s">
        <v>1</v>
      </c>
      <c r="AE81" s="68" t="s">
        <v>2</v>
      </c>
      <c r="AF81" s="70"/>
      <c r="AG81" s="67" t="s">
        <v>1</v>
      </c>
      <c r="AH81" s="68" t="s">
        <v>2</v>
      </c>
      <c r="AI81" s="70"/>
      <c r="AJ81" s="67" t="s">
        <v>1</v>
      </c>
      <c r="AK81" s="68" t="s">
        <v>2</v>
      </c>
      <c r="AL81" s="70"/>
      <c r="AM81" s="67" t="s">
        <v>1</v>
      </c>
      <c r="AN81" s="68" t="s">
        <v>2</v>
      </c>
      <c r="AO81" s="66"/>
      <c r="AP81" s="67" t="s">
        <v>1</v>
      </c>
      <c r="AQ81" s="68" t="s">
        <v>2</v>
      </c>
      <c r="AR81" s="66"/>
      <c r="AS81" s="67" t="s">
        <v>1</v>
      </c>
      <c r="AT81" s="68" t="s">
        <v>2</v>
      </c>
      <c r="AU81" s="66"/>
      <c r="AV81" s="67" t="s">
        <v>1</v>
      </c>
      <c r="AW81" s="68" t="s">
        <v>2</v>
      </c>
      <c r="AX81" s="66"/>
      <c r="AY81" s="67" t="s">
        <v>1</v>
      </c>
      <c r="AZ81" s="68" t="s">
        <v>2</v>
      </c>
      <c r="BA81" s="66"/>
      <c r="BB81" s="67" t="s">
        <v>1</v>
      </c>
      <c r="BC81" s="68" t="s">
        <v>2</v>
      </c>
      <c r="BD81" s="66"/>
      <c r="BE81" s="67" t="s">
        <v>1</v>
      </c>
      <c r="BF81" s="68" t="s">
        <v>2</v>
      </c>
      <c r="BG81" s="66"/>
      <c r="BH81" s="67" t="s">
        <v>1</v>
      </c>
      <c r="BI81" s="68" t="s">
        <v>2</v>
      </c>
      <c r="BJ81" s="66"/>
      <c r="BK81" s="67" t="s">
        <v>1</v>
      </c>
      <c r="BL81" s="68" t="s">
        <v>2</v>
      </c>
      <c r="BM81" s="66"/>
      <c r="BN81" s="67" t="s">
        <v>1</v>
      </c>
      <c r="BO81" s="68" t="s">
        <v>2</v>
      </c>
      <c r="BP81" s="66"/>
      <c r="BQ81" s="67" t="s">
        <v>1</v>
      </c>
      <c r="BR81" s="68" t="s">
        <v>2</v>
      </c>
      <c r="BS81" s="66"/>
      <c r="BT81" s="67" t="s">
        <v>1</v>
      </c>
      <c r="BU81" s="68" t="s">
        <v>2</v>
      </c>
      <c r="BV81" s="66"/>
      <c r="BW81" s="67" t="s">
        <v>1</v>
      </c>
      <c r="BX81" s="68" t="s">
        <v>2</v>
      </c>
      <c r="BY81" s="66"/>
      <c r="BZ81" s="67" t="s">
        <v>1</v>
      </c>
      <c r="CA81" s="68" t="s">
        <v>2</v>
      </c>
      <c r="CB81" s="66"/>
      <c r="CC81" s="67" t="s">
        <v>1</v>
      </c>
      <c r="CD81" s="68" t="s">
        <v>2</v>
      </c>
      <c r="CE81" s="66"/>
      <c r="CF81" s="67" t="s">
        <v>1</v>
      </c>
      <c r="CG81" s="68" t="s">
        <v>2</v>
      </c>
      <c r="CH81" s="66"/>
      <c r="CI81" s="67" t="s">
        <v>1</v>
      </c>
      <c r="CJ81" s="68" t="s">
        <v>2</v>
      </c>
      <c r="CK81" s="66"/>
      <c r="CL81" s="67" t="s">
        <v>1</v>
      </c>
      <c r="CM81" s="68" t="s">
        <v>2</v>
      </c>
      <c r="CN81" s="66"/>
      <c r="CO81" s="80" t="s">
        <v>1</v>
      </c>
      <c r="CP81" s="68" t="s">
        <v>2</v>
      </c>
      <c r="CQ81" s="66"/>
      <c r="CR81" s="67" t="s">
        <v>1</v>
      </c>
      <c r="CS81" s="68" t="s">
        <v>2</v>
      </c>
      <c r="CT81" s="66"/>
      <c r="CU81" s="67" t="s">
        <v>1</v>
      </c>
      <c r="CV81" s="68" t="s">
        <v>2</v>
      </c>
      <c r="CW81" s="66"/>
      <c r="CX81" s="67" t="s">
        <v>1</v>
      </c>
      <c r="CY81" s="68" t="s">
        <v>2</v>
      </c>
      <c r="CZ81" s="67"/>
      <c r="DA81" s="67" t="s">
        <v>1</v>
      </c>
      <c r="DB81" s="68" t="s">
        <v>2</v>
      </c>
      <c r="DC81" s="67"/>
      <c r="DD81" s="67" t="s">
        <v>1</v>
      </c>
      <c r="DE81" s="68" t="s">
        <v>2</v>
      </c>
      <c r="DF81" s="67"/>
      <c r="DG81" s="67" t="s">
        <v>1</v>
      </c>
      <c r="DH81" s="68" t="s">
        <v>2</v>
      </c>
    </row>
    <row r="82" spans="1:112" s="44" customFormat="1" ht="15" customHeight="1">
      <c r="A82" s="121" t="s">
        <v>23</v>
      </c>
      <c r="B82" s="121"/>
      <c r="C82" s="121"/>
      <c r="D82" s="121"/>
      <c r="E82" s="121"/>
      <c r="F82" s="51">
        <f>SUM(F90:F91)</f>
        <v>1542</v>
      </c>
      <c r="G82" s="52"/>
      <c r="H82" s="51"/>
      <c r="I82" s="51">
        <f>SUM(I90:I91)</f>
        <v>1629</v>
      </c>
      <c r="J82" s="52"/>
      <c r="K82" s="53"/>
      <c r="L82" s="51">
        <f>SUM(L90:L91)</f>
        <v>1645</v>
      </c>
      <c r="M82" s="52"/>
      <c r="N82" s="54"/>
      <c r="O82" s="51">
        <f>SUM(O90:O91)</f>
        <v>1717</v>
      </c>
      <c r="P82" s="52"/>
      <c r="Q82" s="54"/>
      <c r="R82" s="51">
        <f>SUM(R90:R91)</f>
        <v>1844</v>
      </c>
      <c r="S82" s="52"/>
      <c r="T82" s="54"/>
      <c r="U82" s="51">
        <f>SUM(U90:U91)</f>
        <v>1994</v>
      </c>
      <c r="V82" s="52"/>
      <c r="W82" s="54"/>
      <c r="X82" s="51">
        <f>SUM(X90:X91)</f>
        <v>1996</v>
      </c>
      <c r="Y82" s="52"/>
      <c r="Z82" s="54"/>
      <c r="AA82" s="51">
        <f>SUM(AA90:AA91)</f>
        <v>2069</v>
      </c>
      <c r="AB82" s="52"/>
      <c r="AC82" s="54"/>
      <c r="AD82" s="51">
        <f>SUM(AD90:AD91)</f>
        <v>2126</v>
      </c>
      <c r="AE82" s="52"/>
      <c r="AF82" s="54"/>
      <c r="AG82" s="51">
        <f>SUM(AG90:AG91)</f>
        <v>2178</v>
      </c>
      <c r="AH82" s="52"/>
      <c r="AI82" s="54"/>
      <c r="AJ82" s="51">
        <f>SUM(AJ90:AJ91)</f>
        <v>2233</v>
      </c>
      <c r="AK82" s="52"/>
      <c r="AL82" s="54"/>
      <c r="AM82" s="51">
        <f>SUM(AM90:AM91)</f>
        <v>2268</v>
      </c>
      <c r="AN82" s="52"/>
      <c r="AO82" s="55"/>
      <c r="AP82" s="51">
        <f>SUM(AP90:AP91)</f>
        <v>2234</v>
      </c>
      <c r="AQ82" s="52"/>
      <c r="AR82" s="55"/>
      <c r="AS82" s="51">
        <f>SUM(AS90:AS91)</f>
        <v>2343</v>
      </c>
      <c r="AT82" s="52"/>
      <c r="AU82" s="55"/>
      <c r="AV82" s="51">
        <f>SUM(AV90:AV91)</f>
        <v>2365</v>
      </c>
      <c r="AW82" s="52"/>
      <c r="AX82" s="55"/>
      <c r="AY82" s="51">
        <f>SUM(AY90:AY91)</f>
        <v>2385</v>
      </c>
      <c r="AZ82" s="52"/>
      <c r="BA82" s="55"/>
      <c r="BB82" s="51">
        <f>SUM(BB90:BB91)</f>
        <v>2458</v>
      </c>
      <c r="BC82" s="52"/>
      <c r="BD82" s="55"/>
      <c r="BE82" s="51">
        <f>SUM(BE90:BE91)</f>
        <v>2540</v>
      </c>
      <c r="BF82" s="52"/>
      <c r="BG82" s="55"/>
      <c r="BH82" s="51">
        <f>SUM(BH90:BH91)</f>
        <v>2598</v>
      </c>
      <c r="BI82" s="52"/>
      <c r="BJ82" s="55"/>
      <c r="BK82" s="51">
        <f>SUM(BK90:BK91)</f>
        <v>2606</v>
      </c>
      <c r="BL82" s="52"/>
      <c r="BM82" s="55"/>
      <c r="BN82" s="51">
        <f>SUM(BN90:BN91)</f>
        <v>2445</v>
      </c>
      <c r="BO82" s="52"/>
      <c r="BP82" s="55"/>
      <c r="BQ82" s="51">
        <f>SUM(BQ90:BQ91)</f>
        <v>2522</v>
      </c>
      <c r="BR82" s="52"/>
      <c r="BS82" s="55"/>
      <c r="BT82" s="51">
        <f>SUM(BT90:BT91)</f>
        <v>2599</v>
      </c>
      <c r="BU82" s="52"/>
      <c r="BV82" s="55"/>
      <c r="BW82" s="61">
        <f>SUM(BW90:BW91)</f>
        <v>2701</v>
      </c>
      <c r="BX82" s="62"/>
      <c r="BY82" s="60"/>
      <c r="BZ82" s="61">
        <f>SUM(BZ90:BZ91)</f>
        <v>2795</v>
      </c>
      <c r="CA82" s="62"/>
      <c r="CB82" s="60"/>
      <c r="CC82" s="61">
        <f>SUM(CC90:CC91)</f>
        <v>2908</v>
      </c>
      <c r="CD82" s="62"/>
      <c r="CE82" s="60"/>
      <c r="CF82" s="61">
        <f>SUM(CF90:CF91)</f>
        <v>3006</v>
      </c>
      <c r="CG82" s="62"/>
      <c r="CH82" s="60"/>
      <c r="CI82" s="61">
        <f>SUM(CI91,CI83:CI88)</f>
        <v>3103</v>
      </c>
      <c r="CJ82" s="52"/>
      <c r="CK82" s="60"/>
      <c r="CL82" s="61">
        <f>CL91+CL88+CL87+CL86+CL85+CL84+CL83</f>
        <v>3123</v>
      </c>
      <c r="CM82" s="52"/>
      <c r="CN82" s="60"/>
      <c r="CO82" s="82">
        <f>CO90+CO91+CO92</f>
        <v>3207</v>
      </c>
      <c r="CP82" s="52"/>
      <c r="CQ82" s="60"/>
      <c r="CR82" s="61">
        <f>CR90+CR91+CR92</f>
        <v>3281</v>
      </c>
      <c r="CS82" s="52"/>
      <c r="CT82" s="60"/>
      <c r="CU82" s="61">
        <f>CU90+CU91+CU92</f>
        <v>3276</v>
      </c>
      <c r="CV82" s="52"/>
      <c r="CW82" s="60"/>
      <c r="CX82" s="61">
        <f>CX90+CX91+CX92</f>
        <v>3485</v>
      </c>
      <c r="CY82" s="52"/>
      <c r="CZ82" s="61"/>
      <c r="DA82" s="61">
        <f>DA90+DA91+DA92</f>
        <v>3653</v>
      </c>
      <c r="DB82" s="52"/>
      <c r="DC82" s="61"/>
      <c r="DD82" s="61">
        <f>DD90+DD91+DD92</f>
        <v>3712</v>
      </c>
      <c r="DE82" s="52"/>
      <c r="DF82" s="61"/>
      <c r="DG82" s="61">
        <f>DG90+DG91+DG92</f>
        <v>3688</v>
      </c>
      <c r="DH82" s="52"/>
    </row>
    <row r="83" spans="1:112" s="27" customFormat="1" ht="10.15" customHeight="1">
      <c r="A83" s="22"/>
      <c r="B83" s="116" t="s">
        <v>55</v>
      </c>
      <c r="C83" s="116"/>
      <c r="D83" s="116"/>
      <c r="E83" s="116"/>
      <c r="F83" s="23">
        <v>31</v>
      </c>
      <c r="G83" s="24">
        <f>(F83/F82)</f>
        <v>2.0103761348897537E-2</v>
      </c>
      <c r="H83" s="23"/>
      <c r="I83" s="23">
        <v>40</v>
      </c>
      <c r="J83" s="24">
        <f>(I83/I82)</f>
        <v>2.4554941682013505E-2</v>
      </c>
      <c r="K83" s="25"/>
      <c r="L83" s="23">
        <v>38</v>
      </c>
      <c r="M83" s="24">
        <f>(L83/L82)</f>
        <v>2.3100303951367782E-2</v>
      </c>
      <c r="N83" s="26"/>
      <c r="O83" s="23">
        <v>44</v>
      </c>
      <c r="P83" s="24">
        <f>(O83/O82)</f>
        <v>2.5626092020966801E-2</v>
      </c>
      <c r="Q83" s="26"/>
      <c r="R83" s="23">
        <v>48</v>
      </c>
      <c r="S83" s="24">
        <f>(R83/R82)</f>
        <v>2.6030368763557483E-2</v>
      </c>
      <c r="T83" s="26"/>
      <c r="U83" s="23">
        <f>46</f>
        <v>46</v>
      </c>
      <c r="V83" s="24">
        <f>(U83/U82)</f>
        <v>2.3069207622868605E-2</v>
      </c>
      <c r="W83" s="26"/>
      <c r="X83" s="23">
        <f>51</f>
        <v>51</v>
      </c>
      <c r="Y83" s="24">
        <f>(X83/X82)</f>
        <v>2.5551102204408819E-2</v>
      </c>
      <c r="Z83" s="26"/>
      <c r="AA83" s="23">
        <f>53</f>
        <v>53</v>
      </c>
      <c r="AB83" s="24">
        <f>(AA83/AA82)</f>
        <v>2.5616239729337846E-2</v>
      </c>
      <c r="AC83" s="26"/>
      <c r="AD83" s="23">
        <f>52-4</f>
        <v>48</v>
      </c>
      <c r="AE83" s="24">
        <f>(AD83/AD82)</f>
        <v>2.2577610536218252E-2</v>
      </c>
      <c r="AF83" s="26"/>
      <c r="AG83" s="23">
        <f>53</f>
        <v>53</v>
      </c>
      <c r="AH83" s="24">
        <f>(AG83/AG82)</f>
        <v>2.4334251606978878E-2</v>
      </c>
      <c r="AI83" s="26"/>
      <c r="AJ83" s="23">
        <f>53</f>
        <v>53</v>
      </c>
      <c r="AK83" s="24">
        <f>(AJ83/AJ82)</f>
        <v>2.373488580385132E-2</v>
      </c>
      <c r="AL83" s="26"/>
      <c r="AM83" s="23">
        <v>52</v>
      </c>
      <c r="AN83" s="24">
        <f>(AM83/AM82)</f>
        <v>2.292768959435626E-2</v>
      </c>
      <c r="AO83" s="22"/>
      <c r="AP83" s="23">
        <v>49</v>
      </c>
      <c r="AQ83" s="24">
        <f>(AP83/AP82)</f>
        <v>2.1933751119068933E-2</v>
      </c>
      <c r="AR83" s="22"/>
      <c r="AS83" s="23">
        <v>53</v>
      </c>
      <c r="AT83" s="24">
        <f>(AS83/AS82)</f>
        <v>2.2620571916346564E-2</v>
      </c>
      <c r="AU83" s="22"/>
      <c r="AV83" s="23">
        <v>51</v>
      </c>
      <c r="AW83" s="24">
        <f>(AV83/AV82)</f>
        <v>2.1564482029598309E-2</v>
      </c>
      <c r="AX83" s="22"/>
      <c r="AY83" s="23">
        <v>43</v>
      </c>
      <c r="AZ83" s="24">
        <f>(AY83/AY82)</f>
        <v>1.8029350104821804E-2</v>
      </c>
      <c r="BA83" s="22"/>
      <c r="BB83" s="23">
        <v>51</v>
      </c>
      <c r="BC83" s="24">
        <f>(BB83/BB82)</f>
        <v>2.0748576078112285E-2</v>
      </c>
      <c r="BD83" s="22"/>
      <c r="BE83" s="23">
        <v>47</v>
      </c>
      <c r="BF83" s="24">
        <f>(BE83/BE82)</f>
        <v>1.8503937007874015E-2</v>
      </c>
      <c r="BG83" s="22"/>
      <c r="BH83" s="23">
        <v>48</v>
      </c>
      <c r="BI83" s="24">
        <f>(BH83/BH82)</f>
        <v>1.8475750577367205E-2</v>
      </c>
      <c r="BJ83" s="22"/>
      <c r="BK83" s="23">
        <v>49</v>
      </c>
      <c r="BL83" s="24">
        <f>(BK83/BK82)</f>
        <v>1.8802762854950115E-2</v>
      </c>
      <c r="BM83" s="22"/>
      <c r="BN83" s="23">
        <v>47</v>
      </c>
      <c r="BO83" s="24">
        <f>(BN83/BN82)</f>
        <v>1.9222903885480574E-2</v>
      </c>
      <c r="BP83" s="22"/>
      <c r="BQ83" s="23">
        <v>45</v>
      </c>
      <c r="BR83" s="24">
        <f>(BQ83/BQ82)</f>
        <v>1.7842981760507533E-2</v>
      </c>
      <c r="BS83" s="22"/>
      <c r="BT83" s="23">
        <v>47</v>
      </c>
      <c r="BU83" s="24">
        <f>(BT83/BT82)</f>
        <v>1.8083878414774913E-2</v>
      </c>
      <c r="BV83" s="22"/>
      <c r="BW83" s="23">
        <v>53</v>
      </c>
      <c r="BX83" s="24">
        <f>(BW83/BW82)</f>
        <v>1.9622362088115512E-2</v>
      </c>
      <c r="BY83" s="22"/>
      <c r="BZ83" s="23">
        <v>61</v>
      </c>
      <c r="CA83" s="24">
        <f>(BZ83/BZ82)</f>
        <v>2.1824686940966009E-2</v>
      </c>
      <c r="CB83" s="22"/>
      <c r="CC83" s="23">
        <v>63</v>
      </c>
      <c r="CD83" s="24">
        <f>(CC83/CC82)</f>
        <v>2.1664374140302613E-2</v>
      </c>
      <c r="CE83" s="22"/>
      <c r="CF83" s="23">
        <v>68</v>
      </c>
      <c r="CG83" s="24">
        <f>(CF83/CF82)</f>
        <v>2.262142381902861E-2</v>
      </c>
      <c r="CH83" s="22"/>
      <c r="CI83" s="23">
        <v>73</v>
      </c>
      <c r="CJ83" s="24">
        <f>CI83/CI82</f>
        <v>2.35256203673864E-2</v>
      </c>
      <c r="CK83" s="22"/>
      <c r="CL83" s="23">
        <v>79</v>
      </c>
      <c r="CM83" s="24">
        <f>CL83/3123</f>
        <v>2.5296189561319245E-2</v>
      </c>
      <c r="CN83" s="22"/>
      <c r="CO83" s="83">
        <v>69</v>
      </c>
      <c r="CP83" s="24">
        <f t="shared" ref="CP83:CP92" si="79">CO83/3207</f>
        <v>2.1515434985968196E-2</v>
      </c>
      <c r="CQ83" s="22"/>
      <c r="CR83" s="23">
        <v>72</v>
      </c>
      <c r="CS83" s="24">
        <f t="shared" ref="CS83:CS92" si="80">CR83/$CR$82</f>
        <v>2.1944529106979579E-2</v>
      </c>
      <c r="CT83" s="22"/>
      <c r="CU83" s="23">
        <v>65</v>
      </c>
      <c r="CV83" s="24">
        <f>CU83/$CX$82</f>
        <v>1.8651362984218076E-2</v>
      </c>
      <c r="CW83" s="22"/>
      <c r="CX83" s="23">
        <v>62</v>
      </c>
      <c r="CY83" s="24">
        <f t="shared" ref="CY83:CY92" si="81">CX83/$CX$82</f>
        <v>1.7790530846484937E-2</v>
      </c>
      <c r="CZ83" s="23"/>
      <c r="DA83" s="23">
        <v>63</v>
      </c>
      <c r="DB83" s="24">
        <f>DA83/$DA$82</f>
        <v>1.7246099096632904E-2</v>
      </c>
      <c r="DC83" s="23"/>
      <c r="DD83" s="23">
        <v>61</v>
      </c>
      <c r="DE83" s="24">
        <f>DD83/$DA$82</f>
        <v>1.6698603887215988E-2</v>
      </c>
      <c r="DF83" s="23"/>
      <c r="DG83" s="23">
        <v>56</v>
      </c>
      <c r="DH83" s="24">
        <f>DG83/$DA$82</f>
        <v>1.5329865863673693E-2</v>
      </c>
    </row>
    <row r="84" spans="1:112" s="27" customFormat="1" ht="10.15" customHeight="1">
      <c r="A84" s="22"/>
      <c r="B84" s="116" t="s">
        <v>9</v>
      </c>
      <c r="C84" s="116"/>
      <c r="D84" s="116"/>
      <c r="E84" s="116"/>
      <c r="F84" s="23">
        <v>2</v>
      </c>
      <c r="G84" s="24">
        <f>(F84/F82)</f>
        <v>1.2970168612191958E-3</v>
      </c>
      <c r="H84" s="23"/>
      <c r="I84" s="23">
        <v>3</v>
      </c>
      <c r="J84" s="24">
        <f>(I84/I82)</f>
        <v>1.841620626151013E-3</v>
      </c>
      <c r="K84" s="25"/>
      <c r="L84" s="23">
        <v>3</v>
      </c>
      <c r="M84" s="24">
        <f>(L84/L82)</f>
        <v>1.82370820668693E-3</v>
      </c>
      <c r="N84" s="26"/>
      <c r="O84" s="23">
        <v>2</v>
      </c>
      <c r="P84" s="24">
        <f>(O84/O82)</f>
        <v>1.1648223645894002E-3</v>
      </c>
      <c r="Q84" s="26"/>
      <c r="R84" s="23">
        <v>4</v>
      </c>
      <c r="S84" s="24">
        <f>(R84/R82)</f>
        <v>2.1691973969631237E-3</v>
      </c>
      <c r="T84" s="26"/>
      <c r="U84" s="23">
        <v>5</v>
      </c>
      <c r="V84" s="24">
        <f>(U84/U82)</f>
        <v>2.5075225677031092E-3</v>
      </c>
      <c r="W84" s="26"/>
      <c r="X84" s="23">
        <f>6</f>
        <v>6</v>
      </c>
      <c r="Y84" s="24">
        <f>(X84/X82)</f>
        <v>3.0060120240480962E-3</v>
      </c>
      <c r="Z84" s="26"/>
      <c r="AA84" s="23">
        <f>7</f>
        <v>7</v>
      </c>
      <c r="AB84" s="24">
        <f>(AA84/AA82)</f>
        <v>3.3832769453842437E-3</v>
      </c>
      <c r="AC84" s="26"/>
      <c r="AD84" s="23">
        <v>7</v>
      </c>
      <c r="AE84" s="24">
        <f>(AD84/AD82)</f>
        <v>3.292568203198495E-3</v>
      </c>
      <c r="AF84" s="26"/>
      <c r="AG84" s="23">
        <v>8</v>
      </c>
      <c r="AH84" s="24">
        <f>(AG84/AG82)</f>
        <v>3.6730945821854912E-3</v>
      </c>
      <c r="AI84" s="26"/>
      <c r="AJ84" s="23">
        <f>7</f>
        <v>7</v>
      </c>
      <c r="AK84" s="24">
        <f>(AJ84/AJ82)</f>
        <v>3.134796238244514E-3</v>
      </c>
      <c r="AL84" s="26"/>
      <c r="AM84" s="23">
        <v>8</v>
      </c>
      <c r="AN84" s="24">
        <f>(AM84/AM82)</f>
        <v>3.5273368606701938E-3</v>
      </c>
      <c r="AO84" s="22"/>
      <c r="AP84" s="23">
        <v>7</v>
      </c>
      <c r="AQ84" s="24">
        <f>(AP84/AP82)</f>
        <v>3.1333930170098479E-3</v>
      </c>
      <c r="AR84" s="22"/>
      <c r="AS84" s="23">
        <v>6</v>
      </c>
      <c r="AT84" s="24">
        <f>(AS84/AS82)</f>
        <v>2.5608194622279128E-3</v>
      </c>
      <c r="AU84" s="22"/>
      <c r="AV84" s="23">
        <v>6</v>
      </c>
      <c r="AW84" s="24">
        <f>(AV84/AV82)</f>
        <v>2.536997885835095E-3</v>
      </c>
      <c r="AX84" s="22"/>
      <c r="AY84" s="23">
        <f>4+1</f>
        <v>5</v>
      </c>
      <c r="AZ84" s="24">
        <f>(AY84/AY82)</f>
        <v>2.0964360587002098E-3</v>
      </c>
      <c r="BA84" s="22"/>
      <c r="BB84" s="23">
        <v>6</v>
      </c>
      <c r="BC84" s="24">
        <f>(BB84/BB82)</f>
        <v>2.4410089503661514E-3</v>
      </c>
      <c r="BD84" s="22"/>
      <c r="BE84" s="23">
        <v>6</v>
      </c>
      <c r="BF84" s="24">
        <f>(BE84/BE82)</f>
        <v>2.3622047244094488E-3</v>
      </c>
      <c r="BG84" s="22"/>
      <c r="BH84" s="23">
        <v>5</v>
      </c>
      <c r="BI84" s="24">
        <f>(BH84/BH82)</f>
        <v>1.924557351809084E-3</v>
      </c>
      <c r="BJ84" s="22"/>
      <c r="BK84" s="23">
        <v>4</v>
      </c>
      <c r="BL84" s="24">
        <f>(BK84/BK82)</f>
        <v>1.5349194167306216E-3</v>
      </c>
      <c r="BM84" s="22"/>
      <c r="BN84" s="23">
        <v>3</v>
      </c>
      <c r="BO84" s="24">
        <f>(BN84/BN82)</f>
        <v>1.2269938650306749E-3</v>
      </c>
      <c r="BP84" s="22"/>
      <c r="BQ84" s="23">
        <v>3</v>
      </c>
      <c r="BR84" s="24">
        <f>(BQ84/BQ82)</f>
        <v>1.1895321173671688E-3</v>
      </c>
      <c r="BS84" s="22"/>
      <c r="BT84" s="23">
        <v>4</v>
      </c>
      <c r="BU84" s="24">
        <f>(BT84/BT82)</f>
        <v>1.5390534821085034E-3</v>
      </c>
      <c r="BV84" s="22"/>
      <c r="BW84" s="23">
        <v>1</v>
      </c>
      <c r="BX84" s="24">
        <f>(BW84/BW82)</f>
        <v>3.7023324694557573E-4</v>
      </c>
      <c r="BY84" s="22"/>
      <c r="BZ84" s="23">
        <v>3</v>
      </c>
      <c r="CA84" s="24">
        <f>(BZ84/BZ82)</f>
        <v>1.0733452593917709E-3</v>
      </c>
      <c r="CB84" s="22"/>
      <c r="CC84" s="23">
        <v>3</v>
      </c>
      <c r="CD84" s="24">
        <f>(CC84/CC82)</f>
        <v>1.0316368638239339E-3</v>
      </c>
      <c r="CE84" s="22"/>
      <c r="CF84" s="23">
        <v>5</v>
      </c>
      <c r="CG84" s="24">
        <f>(CF84/CF82)</f>
        <v>1.66333998669328E-3</v>
      </c>
      <c r="CH84" s="22"/>
      <c r="CI84" s="23">
        <v>7</v>
      </c>
      <c r="CJ84" s="24">
        <f>CI84/CI82</f>
        <v>2.2558814050918467E-3</v>
      </c>
      <c r="CK84" s="22"/>
      <c r="CL84" s="23">
        <v>3</v>
      </c>
      <c r="CM84" s="24">
        <f t="shared" ref="CM84:CM91" si="82">CL84/3123</f>
        <v>9.6061479346781938E-4</v>
      </c>
      <c r="CN84" s="22"/>
      <c r="CO84" s="83">
        <v>6</v>
      </c>
      <c r="CP84" s="24">
        <f t="shared" si="79"/>
        <v>1.8709073900841909E-3</v>
      </c>
      <c r="CQ84" s="22"/>
      <c r="CR84" s="23">
        <v>9</v>
      </c>
      <c r="CS84" s="24">
        <f t="shared" si="80"/>
        <v>2.7430661383724473E-3</v>
      </c>
      <c r="CT84" s="22"/>
      <c r="CU84" s="23">
        <v>5</v>
      </c>
      <c r="CV84" s="24">
        <f t="shared" ref="CV84:CV89" si="83">CU84/$CX$82</f>
        <v>1.4347202295552368E-3</v>
      </c>
      <c r="CW84" s="22"/>
      <c r="CX84" s="23">
        <v>6</v>
      </c>
      <c r="CY84" s="24">
        <f t="shared" si="81"/>
        <v>1.721664275466284E-3</v>
      </c>
      <c r="CZ84" s="23"/>
      <c r="DA84" s="23">
        <v>3</v>
      </c>
      <c r="DB84" s="24">
        <f t="shared" ref="DB84:DB92" si="84">DA84/$DA$82</f>
        <v>8.212428141253764E-4</v>
      </c>
      <c r="DC84" s="23"/>
      <c r="DD84" s="23">
        <v>6</v>
      </c>
      <c r="DE84" s="24">
        <f t="shared" ref="DE84:DE92" si="85">DD84/$DA$82</f>
        <v>1.6424856282507528E-3</v>
      </c>
      <c r="DF84" s="23"/>
      <c r="DG84" s="23">
        <v>4</v>
      </c>
      <c r="DH84" s="24">
        <f t="shared" ref="DH84:DH92" si="86">DG84/$DA$82</f>
        <v>1.0949904188338351E-3</v>
      </c>
    </row>
    <row r="85" spans="1:112" s="27" customFormat="1" ht="10.15" customHeight="1">
      <c r="A85" s="22"/>
      <c r="B85" s="116" t="s">
        <v>32</v>
      </c>
      <c r="C85" s="116"/>
      <c r="D85" s="116"/>
      <c r="E85" s="116"/>
      <c r="F85" s="23">
        <v>26</v>
      </c>
      <c r="G85" s="24">
        <f>(F85/F82)</f>
        <v>1.6861219195849545E-2</v>
      </c>
      <c r="H85" s="23"/>
      <c r="I85" s="23">
        <v>37</v>
      </c>
      <c r="J85" s="24">
        <f>(I85/I82)</f>
        <v>2.2713321055862493E-2</v>
      </c>
      <c r="K85" s="25"/>
      <c r="L85" s="23">
        <v>49</v>
      </c>
      <c r="M85" s="24">
        <f>(L85/L82)</f>
        <v>2.9787234042553193E-2</v>
      </c>
      <c r="N85" s="26"/>
      <c r="O85" s="23">
        <v>50</v>
      </c>
      <c r="P85" s="24">
        <f>(O85/O82)</f>
        <v>2.9120559114735003E-2</v>
      </c>
      <c r="Q85" s="26"/>
      <c r="R85" s="23">
        <v>59</v>
      </c>
      <c r="S85" s="24">
        <f>(R85/R82)</f>
        <v>3.1995661605206074E-2</v>
      </c>
      <c r="T85" s="26"/>
      <c r="U85" s="23">
        <f>73</f>
        <v>73</v>
      </c>
      <c r="V85" s="24">
        <f>(U85/U82)</f>
        <v>3.6609829488465397E-2</v>
      </c>
      <c r="W85" s="26"/>
      <c r="X85" s="23">
        <f>73</f>
        <v>73</v>
      </c>
      <c r="Y85" s="24">
        <f>(X85/X82)</f>
        <v>3.6573146292585172E-2</v>
      </c>
      <c r="Z85" s="26"/>
      <c r="AA85" s="23">
        <v>74</v>
      </c>
      <c r="AB85" s="24">
        <f>(AA85/AA82)</f>
        <v>3.5766070565490575E-2</v>
      </c>
      <c r="AC85" s="26"/>
      <c r="AD85" s="23">
        <v>74</v>
      </c>
      <c r="AE85" s="24">
        <f>(AD85/AD82)</f>
        <v>3.4807149576669805E-2</v>
      </c>
      <c r="AF85" s="26"/>
      <c r="AG85" s="23">
        <f>80+0</f>
        <v>80</v>
      </c>
      <c r="AH85" s="24">
        <f>(AG85/AG82)</f>
        <v>3.6730945821854911E-2</v>
      </c>
      <c r="AI85" s="26"/>
      <c r="AJ85" s="23">
        <f>82</f>
        <v>82</v>
      </c>
      <c r="AK85" s="24">
        <f>(AJ85/AJ82)</f>
        <v>3.6721898790864307E-2</v>
      </c>
      <c r="AL85" s="26"/>
      <c r="AM85" s="23">
        <v>93</v>
      </c>
      <c r="AN85" s="24">
        <f>(AM85/AM82)</f>
        <v>4.1005291005291003E-2</v>
      </c>
      <c r="AO85" s="22"/>
      <c r="AP85" s="23">
        <v>90</v>
      </c>
      <c r="AQ85" s="24">
        <f>(AP85/AP82)</f>
        <v>4.0286481647269473E-2</v>
      </c>
      <c r="AR85" s="22"/>
      <c r="AS85" s="23">
        <v>100</v>
      </c>
      <c r="AT85" s="24">
        <f>(AS85/AS82)</f>
        <v>4.2680324370465213E-2</v>
      </c>
      <c r="AU85" s="22"/>
      <c r="AV85" s="23">
        <v>107</v>
      </c>
      <c r="AW85" s="24">
        <f>(AV85/AV82)</f>
        <v>4.5243128964059194E-2</v>
      </c>
      <c r="AX85" s="22"/>
      <c r="AY85" s="23">
        <v>109</v>
      </c>
      <c r="AZ85" s="24">
        <f>(AY85/AY82)</f>
        <v>4.5702306079664572E-2</v>
      </c>
      <c r="BA85" s="22"/>
      <c r="BB85" s="23">
        <v>131</v>
      </c>
      <c r="BC85" s="24">
        <f>(BB85/BB82)</f>
        <v>5.3295362082994305E-2</v>
      </c>
      <c r="BD85" s="22"/>
      <c r="BE85" s="23">
        <v>144</v>
      </c>
      <c r="BF85" s="24">
        <f>(BE85/BE82)</f>
        <v>5.6692913385826771E-2</v>
      </c>
      <c r="BG85" s="22"/>
      <c r="BH85" s="23">
        <v>139</v>
      </c>
      <c r="BI85" s="24">
        <f>(BH85/BH82)</f>
        <v>5.350269438029253E-2</v>
      </c>
      <c r="BJ85" s="22"/>
      <c r="BK85" s="23">
        <v>152</v>
      </c>
      <c r="BL85" s="24">
        <f>(BK85/BK82)</f>
        <v>5.832693783576362E-2</v>
      </c>
      <c r="BM85" s="22"/>
      <c r="BN85" s="23">
        <v>156</v>
      </c>
      <c r="BO85" s="24">
        <f>(BN85/BN82)</f>
        <v>6.3803680981595098E-2</v>
      </c>
      <c r="BP85" s="22"/>
      <c r="BQ85" s="23">
        <v>158</v>
      </c>
      <c r="BR85" s="24">
        <f>(BQ85/BQ82)</f>
        <v>6.2648691514670896E-2</v>
      </c>
      <c r="BS85" s="22"/>
      <c r="BT85" s="23">
        <v>166</v>
      </c>
      <c r="BU85" s="24">
        <f>(BT85/BT82)</f>
        <v>6.3870719507502879E-2</v>
      </c>
      <c r="BV85" s="22"/>
      <c r="BW85" s="23">
        <v>174</v>
      </c>
      <c r="BX85" s="24">
        <f>(BW85/BW82)</f>
        <v>6.4420584968530176E-2</v>
      </c>
      <c r="BY85" s="22"/>
      <c r="BZ85" s="23">
        <v>176</v>
      </c>
      <c r="CA85" s="24">
        <f>(BZ85/BZ82)</f>
        <v>6.2969588550983904E-2</v>
      </c>
      <c r="CB85" s="22"/>
      <c r="CC85" s="23">
        <v>185</v>
      </c>
      <c r="CD85" s="24">
        <f>(CC85/CC82)</f>
        <v>6.3617606602475923E-2</v>
      </c>
      <c r="CE85" s="22"/>
      <c r="CF85" s="23">
        <v>199</v>
      </c>
      <c r="CG85" s="24">
        <f>(CF85/CF82)</f>
        <v>6.6200931470392549E-2</v>
      </c>
      <c r="CH85" s="22"/>
      <c r="CI85" s="23">
        <v>204</v>
      </c>
      <c r="CJ85" s="24">
        <f>CI85/CI82</f>
        <v>6.5742829519819523E-2</v>
      </c>
      <c r="CK85" s="22"/>
      <c r="CL85" s="23">
        <v>206</v>
      </c>
      <c r="CM85" s="24">
        <f t="shared" si="82"/>
        <v>6.5962215818123601E-2</v>
      </c>
      <c r="CN85" s="22"/>
      <c r="CO85" s="83">
        <v>161</v>
      </c>
      <c r="CP85" s="24">
        <f t="shared" si="79"/>
        <v>5.0202681633925786E-2</v>
      </c>
      <c r="CQ85" s="22"/>
      <c r="CR85" s="23">
        <v>163</v>
      </c>
      <c r="CS85" s="24">
        <f t="shared" si="80"/>
        <v>4.9679975617189884E-2</v>
      </c>
      <c r="CT85" s="22"/>
      <c r="CU85" s="23">
        <v>163</v>
      </c>
      <c r="CV85" s="24">
        <f t="shared" si="83"/>
        <v>4.6771879483500714E-2</v>
      </c>
      <c r="CW85" s="22"/>
      <c r="CX85" s="23">
        <v>167</v>
      </c>
      <c r="CY85" s="24">
        <f t="shared" si="81"/>
        <v>4.7919655667144907E-2</v>
      </c>
      <c r="CZ85" s="23"/>
      <c r="DA85" s="23">
        <v>173</v>
      </c>
      <c r="DB85" s="24">
        <f t="shared" si="84"/>
        <v>4.7358335614563374E-2</v>
      </c>
      <c r="DC85" s="23"/>
      <c r="DD85" s="23">
        <v>172</v>
      </c>
      <c r="DE85" s="24">
        <f t="shared" si="85"/>
        <v>4.7084588009854912E-2</v>
      </c>
      <c r="DF85" s="23"/>
      <c r="DG85" s="23">
        <v>178</v>
      </c>
      <c r="DH85" s="24">
        <f t="shared" si="86"/>
        <v>4.8727073638105668E-2</v>
      </c>
    </row>
    <row r="86" spans="1:112" s="27" customFormat="1" ht="10.15" customHeight="1">
      <c r="A86" s="22"/>
      <c r="B86" s="116" t="s">
        <v>10</v>
      </c>
      <c r="C86" s="116"/>
      <c r="D86" s="116"/>
      <c r="E86" s="116"/>
      <c r="F86" s="23">
        <v>6</v>
      </c>
      <c r="G86" s="24">
        <f>(F86/F82)</f>
        <v>3.8910505836575876E-3</v>
      </c>
      <c r="H86" s="23"/>
      <c r="I86" s="23">
        <v>6</v>
      </c>
      <c r="J86" s="24">
        <f>(I86/I82)</f>
        <v>3.6832412523020259E-3</v>
      </c>
      <c r="K86" s="25"/>
      <c r="L86" s="23">
        <v>9</v>
      </c>
      <c r="M86" s="24">
        <f>(L86/L82)</f>
        <v>5.47112462006079E-3</v>
      </c>
      <c r="N86" s="26"/>
      <c r="O86" s="23">
        <v>10</v>
      </c>
      <c r="P86" s="24">
        <f>(O86/O82)</f>
        <v>5.8241118229470003E-3</v>
      </c>
      <c r="Q86" s="26"/>
      <c r="R86" s="23">
        <v>15</v>
      </c>
      <c r="S86" s="24">
        <f>(R86/R82)</f>
        <v>8.1344902386117132E-3</v>
      </c>
      <c r="T86" s="26"/>
      <c r="U86" s="23">
        <f>25</f>
        <v>25</v>
      </c>
      <c r="V86" s="24">
        <f>(U86/U82)</f>
        <v>1.2537612838515547E-2</v>
      </c>
      <c r="W86" s="26"/>
      <c r="X86" s="23">
        <f>23</f>
        <v>23</v>
      </c>
      <c r="Y86" s="24">
        <f>(X86/X82)</f>
        <v>1.1523046092184368E-2</v>
      </c>
      <c r="Z86" s="26"/>
      <c r="AA86" s="23">
        <f>29</f>
        <v>29</v>
      </c>
      <c r="AB86" s="24">
        <f>(AA86/AA82)</f>
        <v>1.401643305944901E-2</v>
      </c>
      <c r="AC86" s="26"/>
      <c r="AD86" s="23">
        <f>30-2</f>
        <v>28</v>
      </c>
      <c r="AE86" s="24">
        <f>(AD86/AD82)</f>
        <v>1.317027281279398E-2</v>
      </c>
      <c r="AF86" s="26"/>
      <c r="AG86" s="23">
        <f>29</f>
        <v>29</v>
      </c>
      <c r="AH86" s="24">
        <f>(AG86/AG82)</f>
        <v>1.3314967860422406E-2</v>
      </c>
      <c r="AI86" s="26"/>
      <c r="AJ86" s="23">
        <f>27</f>
        <v>27</v>
      </c>
      <c r="AK86" s="24">
        <f>(AJ86/AJ82)</f>
        <v>1.2091356918943126E-2</v>
      </c>
      <c r="AL86" s="26"/>
      <c r="AM86" s="23">
        <v>25</v>
      </c>
      <c r="AN86" s="24">
        <f>(AM86/AM82)</f>
        <v>1.1022927689594356E-2</v>
      </c>
      <c r="AO86" s="22"/>
      <c r="AP86" s="23">
        <v>27</v>
      </c>
      <c r="AQ86" s="24">
        <f>(AP86/AP82)</f>
        <v>1.2085944494180842E-2</v>
      </c>
      <c r="AR86" s="22"/>
      <c r="AS86" s="23">
        <v>34</v>
      </c>
      <c r="AT86" s="24">
        <f>(AS86/AS82)</f>
        <v>1.4511310285958173E-2</v>
      </c>
      <c r="AU86" s="22"/>
      <c r="AV86" s="23">
        <v>36</v>
      </c>
      <c r="AW86" s="24">
        <f>(AV86/AV82)</f>
        <v>1.5221987315010571E-2</v>
      </c>
      <c r="AX86" s="22"/>
      <c r="AY86" s="23">
        <v>34</v>
      </c>
      <c r="AZ86" s="24">
        <f>(AY86/AY82)</f>
        <v>1.4255765199161425E-2</v>
      </c>
      <c r="BA86" s="22"/>
      <c r="BB86" s="23">
        <v>40</v>
      </c>
      <c r="BC86" s="24">
        <f>(BB86/BB82)</f>
        <v>1.627339300244101E-2</v>
      </c>
      <c r="BD86" s="22"/>
      <c r="BE86" s="23">
        <v>44</v>
      </c>
      <c r="BF86" s="24">
        <f>(BE86/BE82)</f>
        <v>1.7322834645669291E-2</v>
      </c>
      <c r="BG86" s="22"/>
      <c r="BH86" s="23">
        <v>49</v>
      </c>
      <c r="BI86" s="24">
        <f>(BH86/BH82)</f>
        <v>1.8860662047729022E-2</v>
      </c>
      <c r="BJ86" s="22"/>
      <c r="BK86" s="23">
        <v>51</v>
      </c>
      <c r="BL86" s="24">
        <f>(BK86/BK82)</f>
        <v>1.9570222563315427E-2</v>
      </c>
      <c r="BM86" s="22"/>
      <c r="BN86" s="23">
        <v>50</v>
      </c>
      <c r="BO86" s="24">
        <f>(BN86/BN82)</f>
        <v>2.0449897750511249E-2</v>
      </c>
      <c r="BP86" s="22"/>
      <c r="BQ86" s="23">
        <v>52</v>
      </c>
      <c r="BR86" s="24">
        <f>(BQ86/BQ82)</f>
        <v>2.0618556701030927E-2</v>
      </c>
      <c r="BS86" s="22"/>
      <c r="BT86" s="23">
        <v>57</v>
      </c>
      <c r="BU86" s="24">
        <f>(BT86/BT82)</f>
        <v>2.1931512120046171E-2</v>
      </c>
      <c r="BV86" s="22"/>
      <c r="BW86" s="23">
        <v>50</v>
      </c>
      <c r="BX86" s="24">
        <f>(BW86/BW82)</f>
        <v>1.8511662347278787E-2</v>
      </c>
      <c r="BY86" s="22"/>
      <c r="BZ86" s="23">
        <v>49</v>
      </c>
      <c r="CA86" s="24">
        <f>(BZ86/BZ82)</f>
        <v>1.7531305903398926E-2</v>
      </c>
      <c r="CB86" s="22"/>
      <c r="CC86" s="23">
        <v>58</v>
      </c>
      <c r="CD86" s="24">
        <f>(CC86/CC82)</f>
        <v>1.9944979367262722E-2</v>
      </c>
      <c r="CE86" s="22"/>
      <c r="CF86" s="23">
        <v>69</v>
      </c>
      <c r="CG86" s="24">
        <f>(CF86/CF82)</f>
        <v>2.2954091816367265E-2</v>
      </c>
      <c r="CH86" s="22"/>
      <c r="CI86" s="23">
        <v>75</v>
      </c>
      <c r="CJ86" s="24">
        <f>CI86/CI82</f>
        <v>2.4170157911698357E-2</v>
      </c>
      <c r="CK86" s="22"/>
      <c r="CL86" s="23">
        <v>79</v>
      </c>
      <c r="CM86" s="24">
        <f t="shared" si="82"/>
        <v>2.5296189561319245E-2</v>
      </c>
      <c r="CN86" s="22"/>
      <c r="CO86" s="83">
        <v>69</v>
      </c>
      <c r="CP86" s="24">
        <f t="shared" si="79"/>
        <v>2.1515434985968196E-2</v>
      </c>
      <c r="CQ86" s="22"/>
      <c r="CR86" s="23">
        <v>75</v>
      </c>
      <c r="CS86" s="24">
        <f t="shared" si="80"/>
        <v>2.285888448643706E-2</v>
      </c>
      <c r="CT86" s="22"/>
      <c r="CU86" s="23">
        <v>81</v>
      </c>
      <c r="CV86" s="24">
        <f t="shared" si="83"/>
        <v>2.3242467718794835E-2</v>
      </c>
      <c r="CW86" s="22"/>
      <c r="CX86" s="23">
        <v>85</v>
      </c>
      <c r="CY86" s="24">
        <f t="shared" si="81"/>
        <v>2.4390243902439025E-2</v>
      </c>
      <c r="CZ86" s="23"/>
      <c r="DA86" s="23">
        <v>117</v>
      </c>
      <c r="DB86" s="24">
        <f t="shared" si="84"/>
        <v>3.2028469750889681E-2</v>
      </c>
      <c r="DC86" s="23"/>
      <c r="DD86" s="23">
        <v>115</v>
      </c>
      <c r="DE86" s="24">
        <f t="shared" si="85"/>
        <v>3.1480974541472764E-2</v>
      </c>
      <c r="DF86" s="23"/>
      <c r="DG86" s="23">
        <v>122</v>
      </c>
      <c r="DH86" s="24">
        <f t="shared" si="86"/>
        <v>3.3397207774431975E-2</v>
      </c>
    </row>
    <row r="87" spans="1:112" s="27" customFormat="1" ht="10.15" customHeight="1">
      <c r="A87" s="22"/>
      <c r="B87" s="116" t="s">
        <v>33</v>
      </c>
      <c r="C87" s="116"/>
      <c r="D87" s="116"/>
      <c r="E87" s="116"/>
      <c r="F87" s="23"/>
      <c r="G87" s="24"/>
      <c r="H87" s="23"/>
      <c r="I87" s="23"/>
      <c r="J87" s="24"/>
      <c r="K87" s="25"/>
      <c r="L87" s="23"/>
      <c r="M87" s="24"/>
      <c r="N87" s="26"/>
      <c r="O87" s="23"/>
      <c r="P87" s="24"/>
      <c r="Q87" s="26"/>
      <c r="R87" s="23"/>
      <c r="S87" s="24"/>
      <c r="T87" s="26"/>
      <c r="U87" s="23"/>
      <c r="V87" s="24"/>
      <c r="W87" s="26"/>
      <c r="X87" s="23"/>
      <c r="Y87" s="24"/>
      <c r="Z87" s="26"/>
      <c r="AA87" s="23"/>
      <c r="AB87" s="24"/>
      <c r="AC87" s="26"/>
      <c r="AD87" s="23"/>
      <c r="AE87" s="24"/>
      <c r="AF87" s="26"/>
      <c r="AG87" s="23"/>
      <c r="AH87" s="24"/>
      <c r="AI87" s="26"/>
      <c r="AJ87" s="23"/>
      <c r="AK87" s="24"/>
      <c r="AL87" s="26"/>
      <c r="AM87" s="23"/>
      <c r="AN87" s="24"/>
      <c r="AO87" s="22"/>
      <c r="AP87" s="23"/>
      <c r="AQ87" s="24"/>
      <c r="AR87" s="22"/>
      <c r="AS87" s="23"/>
      <c r="AT87" s="24"/>
      <c r="AU87" s="22"/>
      <c r="AV87" s="23"/>
      <c r="AW87" s="24"/>
      <c r="AX87" s="22"/>
      <c r="AY87" s="23"/>
      <c r="AZ87" s="24"/>
      <c r="BA87" s="22"/>
      <c r="BB87" s="23"/>
      <c r="BC87" s="24"/>
      <c r="BD87" s="22"/>
      <c r="BE87" s="23"/>
      <c r="BF87" s="24"/>
      <c r="BG87" s="22"/>
      <c r="BH87" s="23"/>
      <c r="BI87" s="24"/>
      <c r="BJ87" s="22"/>
      <c r="BK87" s="23">
        <v>0</v>
      </c>
      <c r="BL87" s="24">
        <f>BK87/BK82</f>
        <v>0</v>
      </c>
      <c r="BM87" s="22"/>
      <c r="BN87" s="23">
        <v>0</v>
      </c>
      <c r="BO87" s="24">
        <f>BN87/BN82</f>
        <v>0</v>
      </c>
      <c r="BP87" s="22"/>
      <c r="BQ87" s="23">
        <v>0</v>
      </c>
      <c r="BR87" s="24">
        <f>BQ87/BQ82</f>
        <v>0</v>
      </c>
      <c r="BS87" s="22"/>
      <c r="BT87" s="23">
        <v>1</v>
      </c>
      <c r="BU87" s="24">
        <f>BT87/BT82</f>
        <v>3.8476337052712584E-4</v>
      </c>
      <c r="BV87" s="22"/>
      <c r="BW87" s="23">
        <v>1</v>
      </c>
      <c r="BX87" s="24">
        <f>BW87/BW82</f>
        <v>3.7023324694557573E-4</v>
      </c>
      <c r="BY87" s="22"/>
      <c r="BZ87" s="23">
        <v>1</v>
      </c>
      <c r="CA87" s="24">
        <f>BZ87/BZ82</f>
        <v>3.5778175313059033E-4</v>
      </c>
      <c r="CB87" s="22"/>
      <c r="CC87" s="23">
        <v>1</v>
      </c>
      <c r="CD87" s="24">
        <f>CC87/CC82</f>
        <v>3.43878954607978E-4</v>
      </c>
      <c r="CE87" s="22"/>
      <c r="CF87" s="23">
        <v>1</v>
      </c>
      <c r="CG87" s="24">
        <f>CF87/CF82</f>
        <v>3.3266799733865603E-4</v>
      </c>
      <c r="CH87" s="22"/>
      <c r="CI87" s="23">
        <v>1</v>
      </c>
      <c r="CJ87" s="24">
        <f>CI87/CI82</f>
        <v>3.2226877215597811E-4</v>
      </c>
      <c r="CK87" s="22"/>
      <c r="CL87" s="23">
        <v>1</v>
      </c>
      <c r="CM87" s="24">
        <f t="shared" si="82"/>
        <v>3.2020493115593977E-4</v>
      </c>
      <c r="CN87" s="22"/>
      <c r="CO87" s="83">
        <v>1</v>
      </c>
      <c r="CP87" s="24">
        <f t="shared" si="79"/>
        <v>3.1181789834736512E-4</v>
      </c>
      <c r="CQ87" s="22"/>
      <c r="CR87" s="23">
        <v>2</v>
      </c>
      <c r="CS87" s="24">
        <f t="shared" si="80"/>
        <v>6.0957025297165494E-4</v>
      </c>
      <c r="CT87" s="22"/>
      <c r="CU87" s="23">
        <v>1</v>
      </c>
      <c r="CV87" s="24">
        <f t="shared" si="83"/>
        <v>2.8694404591104734E-4</v>
      </c>
      <c r="CW87" s="22"/>
      <c r="CX87" s="23">
        <v>1</v>
      </c>
      <c r="CY87" s="24">
        <f t="shared" si="81"/>
        <v>2.8694404591104734E-4</v>
      </c>
      <c r="CZ87" s="23"/>
      <c r="DA87" s="23">
        <v>0</v>
      </c>
      <c r="DB87" s="24">
        <f t="shared" si="84"/>
        <v>0</v>
      </c>
      <c r="DC87" s="23"/>
      <c r="DD87" s="23">
        <v>0</v>
      </c>
      <c r="DE87" s="24">
        <f t="shared" si="85"/>
        <v>0</v>
      </c>
      <c r="DF87" s="23"/>
      <c r="DG87" s="23">
        <v>0</v>
      </c>
      <c r="DH87" s="24">
        <f t="shared" si="86"/>
        <v>0</v>
      </c>
    </row>
    <row r="88" spans="1:112" s="27" customFormat="1" ht="10.15" customHeight="1">
      <c r="A88" s="22"/>
      <c r="B88" s="116" t="s">
        <v>34</v>
      </c>
      <c r="C88" s="116"/>
      <c r="D88" s="116"/>
      <c r="E88" s="116"/>
      <c r="F88" s="23"/>
      <c r="G88" s="24"/>
      <c r="H88" s="23"/>
      <c r="I88" s="23"/>
      <c r="J88" s="24"/>
      <c r="K88" s="25"/>
      <c r="L88" s="23"/>
      <c r="M88" s="24"/>
      <c r="N88" s="26"/>
      <c r="O88" s="23"/>
      <c r="P88" s="24"/>
      <c r="Q88" s="26"/>
      <c r="R88" s="23"/>
      <c r="S88" s="24"/>
      <c r="T88" s="26"/>
      <c r="U88" s="23"/>
      <c r="V88" s="24"/>
      <c r="W88" s="26"/>
      <c r="X88" s="23"/>
      <c r="Y88" s="24"/>
      <c r="Z88" s="26"/>
      <c r="AA88" s="23"/>
      <c r="AB88" s="24"/>
      <c r="AC88" s="26"/>
      <c r="AD88" s="23"/>
      <c r="AE88" s="24"/>
      <c r="AF88" s="26"/>
      <c r="AG88" s="23"/>
      <c r="AH88" s="24"/>
      <c r="AI88" s="26"/>
      <c r="AJ88" s="23"/>
      <c r="AK88" s="24"/>
      <c r="AL88" s="26"/>
      <c r="AM88" s="23"/>
      <c r="AN88" s="24"/>
      <c r="AO88" s="22"/>
      <c r="AP88" s="23"/>
      <c r="AQ88" s="24"/>
      <c r="AR88" s="22"/>
      <c r="AS88" s="23"/>
      <c r="AT88" s="24"/>
      <c r="AU88" s="22"/>
      <c r="AV88" s="23"/>
      <c r="AW88" s="24"/>
      <c r="AX88" s="22"/>
      <c r="AY88" s="23"/>
      <c r="AZ88" s="24"/>
      <c r="BA88" s="22"/>
      <c r="BB88" s="23"/>
      <c r="BC88" s="24"/>
      <c r="BD88" s="22"/>
      <c r="BE88" s="23"/>
      <c r="BF88" s="24"/>
      <c r="BG88" s="22"/>
      <c r="BH88" s="23"/>
      <c r="BI88" s="24"/>
      <c r="BJ88" s="22"/>
      <c r="BK88" s="23">
        <v>1</v>
      </c>
      <c r="BL88" s="24">
        <f>BK88/BK82</f>
        <v>3.8372985418265541E-4</v>
      </c>
      <c r="BM88" s="22"/>
      <c r="BN88" s="23">
        <v>2</v>
      </c>
      <c r="BO88" s="24">
        <f>BN88/BN82</f>
        <v>8.1799591002044991E-4</v>
      </c>
      <c r="BP88" s="22"/>
      <c r="BQ88" s="23">
        <v>2</v>
      </c>
      <c r="BR88" s="24">
        <f>BQ88/BQ82</f>
        <v>7.9302141157811261E-4</v>
      </c>
      <c r="BS88" s="22"/>
      <c r="BT88" s="23">
        <v>5</v>
      </c>
      <c r="BU88" s="24">
        <f>BT88/BT82</f>
        <v>1.9238168526356291E-3</v>
      </c>
      <c r="BV88" s="22"/>
      <c r="BW88" s="23">
        <v>10</v>
      </c>
      <c r="BX88" s="24">
        <f>BW88/BW82</f>
        <v>3.7023324694557573E-3</v>
      </c>
      <c r="BY88" s="22"/>
      <c r="BZ88" s="23">
        <v>11</v>
      </c>
      <c r="CA88" s="24">
        <f>BZ88/BZ82</f>
        <v>3.935599284436494E-3</v>
      </c>
      <c r="CB88" s="22"/>
      <c r="CC88" s="23">
        <v>15</v>
      </c>
      <c r="CD88" s="24">
        <f>CC88/CC82</f>
        <v>5.1581843191196696E-3</v>
      </c>
      <c r="CE88" s="22"/>
      <c r="CF88" s="23">
        <v>17</v>
      </c>
      <c r="CG88" s="24">
        <f>CF88/CF82</f>
        <v>5.6553559547571526E-3</v>
      </c>
      <c r="CH88" s="22"/>
      <c r="CI88" s="23">
        <v>24</v>
      </c>
      <c r="CJ88" s="24">
        <f>CI88/CI82</f>
        <v>7.7344505317434743E-3</v>
      </c>
      <c r="CK88" s="22"/>
      <c r="CL88" s="23">
        <v>27</v>
      </c>
      <c r="CM88" s="24">
        <f t="shared" si="82"/>
        <v>8.6455331412103754E-3</v>
      </c>
      <c r="CN88" s="22"/>
      <c r="CO88" s="83">
        <v>31</v>
      </c>
      <c r="CP88" s="24">
        <f t="shared" si="79"/>
        <v>9.6663548487683198E-3</v>
      </c>
      <c r="CQ88" s="22"/>
      <c r="CR88" s="23">
        <v>31</v>
      </c>
      <c r="CS88" s="24">
        <f t="shared" si="80"/>
        <v>9.4483389210606519E-3</v>
      </c>
      <c r="CT88" s="22"/>
      <c r="CU88" s="23">
        <v>34</v>
      </c>
      <c r="CV88" s="24">
        <f t="shared" si="83"/>
        <v>9.7560975609756097E-3</v>
      </c>
      <c r="CW88" s="22"/>
      <c r="CX88" s="23">
        <v>39</v>
      </c>
      <c r="CY88" s="24">
        <f t="shared" si="81"/>
        <v>1.1190817790530846E-2</v>
      </c>
      <c r="CZ88" s="23"/>
      <c r="DA88" s="23">
        <v>41</v>
      </c>
      <c r="DB88" s="24">
        <f t="shared" si="84"/>
        <v>1.1223651793046812E-2</v>
      </c>
      <c r="DC88" s="23"/>
      <c r="DD88" s="23">
        <v>43</v>
      </c>
      <c r="DE88" s="24">
        <f t="shared" si="85"/>
        <v>1.1771147002463728E-2</v>
      </c>
      <c r="DF88" s="23"/>
      <c r="DG88" s="23">
        <v>49</v>
      </c>
      <c r="DH88" s="24">
        <f t="shared" si="86"/>
        <v>1.3413632630714481E-2</v>
      </c>
    </row>
    <row r="89" spans="1:112" s="27" customFormat="1" ht="10.15" customHeight="1">
      <c r="A89" s="22"/>
      <c r="B89" s="22" t="s">
        <v>71</v>
      </c>
      <c r="C89" s="22"/>
      <c r="D89" s="22"/>
      <c r="E89" s="22"/>
      <c r="F89" s="23"/>
      <c r="G89" s="24"/>
      <c r="H89" s="23"/>
      <c r="I89" s="23"/>
      <c r="J89" s="24"/>
      <c r="K89" s="25"/>
      <c r="L89" s="23"/>
      <c r="M89" s="24"/>
      <c r="N89" s="26"/>
      <c r="O89" s="23"/>
      <c r="P89" s="24"/>
      <c r="Q89" s="26"/>
      <c r="R89" s="23"/>
      <c r="S89" s="24"/>
      <c r="T89" s="26"/>
      <c r="U89" s="23"/>
      <c r="V89" s="24"/>
      <c r="W89" s="26"/>
      <c r="X89" s="23"/>
      <c r="Y89" s="24"/>
      <c r="Z89" s="26"/>
      <c r="AA89" s="23"/>
      <c r="AB89" s="24"/>
      <c r="AC89" s="26"/>
      <c r="AD89" s="23"/>
      <c r="AE89" s="24"/>
      <c r="AF89" s="26"/>
      <c r="AG89" s="23"/>
      <c r="AH89" s="24"/>
      <c r="AI89" s="26"/>
      <c r="AJ89" s="23"/>
      <c r="AK89" s="24"/>
      <c r="AL89" s="26"/>
      <c r="AM89" s="23"/>
      <c r="AN89" s="24"/>
      <c r="AO89" s="22"/>
      <c r="AP89" s="23"/>
      <c r="AQ89" s="24"/>
      <c r="AR89" s="22"/>
      <c r="AS89" s="23"/>
      <c r="AT89" s="24"/>
      <c r="AU89" s="22"/>
      <c r="AV89" s="23"/>
      <c r="AW89" s="24"/>
      <c r="AX89" s="22"/>
      <c r="AY89" s="23"/>
      <c r="AZ89" s="24"/>
      <c r="BA89" s="22"/>
      <c r="BB89" s="23"/>
      <c r="BC89" s="24"/>
      <c r="BD89" s="22"/>
      <c r="BE89" s="23"/>
      <c r="BF89" s="24"/>
      <c r="BG89" s="22"/>
      <c r="BH89" s="23"/>
      <c r="BI89" s="24"/>
      <c r="BJ89" s="22"/>
      <c r="BK89" s="23"/>
      <c r="BL89" s="24"/>
      <c r="BM89" s="22"/>
      <c r="BN89" s="23"/>
      <c r="BO89" s="24"/>
      <c r="BP89" s="22"/>
      <c r="BQ89" s="23"/>
      <c r="BR89" s="24"/>
      <c r="BS89" s="22"/>
      <c r="BT89" s="23"/>
      <c r="BU89" s="24"/>
      <c r="BV89" s="22"/>
      <c r="BW89" s="23"/>
      <c r="BX89" s="24"/>
      <c r="BY89" s="22"/>
      <c r="BZ89" s="23"/>
      <c r="CA89" s="24"/>
      <c r="CB89" s="22"/>
      <c r="CC89" s="23"/>
      <c r="CD89" s="24"/>
      <c r="CE89" s="22"/>
      <c r="CF89" s="23" t="s">
        <v>62</v>
      </c>
      <c r="CG89" s="24" t="s">
        <v>76</v>
      </c>
      <c r="CH89" s="22"/>
      <c r="CI89" s="23" t="s">
        <v>59</v>
      </c>
      <c r="CJ89" s="24" t="s">
        <v>62</v>
      </c>
      <c r="CK89" s="22"/>
      <c r="CL89" s="23" t="s">
        <v>59</v>
      </c>
      <c r="CM89" s="24" t="s">
        <v>63</v>
      </c>
      <c r="CN89" s="22"/>
      <c r="CO89" s="83">
        <v>69</v>
      </c>
      <c r="CP89" s="24">
        <f t="shared" si="79"/>
        <v>2.1515434985968196E-2</v>
      </c>
      <c r="CQ89" s="22"/>
      <c r="CR89" s="23">
        <v>73</v>
      </c>
      <c r="CS89" s="24">
        <f t="shared" si="80"/>
        <v>2.2249314233465406E-2</v>
      </c>
      <c r="CT89" s="22"/>
      <c r="CU89" s="23">
        <v>70</v>
      </c>
      <c r="CV89" s="24">
        <f t="shared" si="83"/>
        <v>2.0086083213773313E-2</v>
      </c>
      <c r="CW89" s="22"/>
      <c r="CX89" s="23">
        <v>84</v>
      </c>
      <c r="CY89" s="24">
        <f t="shared" si="81"/>
        <v>2.4103299856527979E-2</v>
      </c>
      <c r="CZ89" s="23"/>
      <c r="DA89" s="23">
        <v>85</v>
      </c>
      <c r="DB89" s="24">
        <f t="shared" si="84"/>
        <v>2.3268546400218998E-2</v>
      </c>
      <c r="DC89" s="23"/>
      <c r="DD89" s="23">
        <v>85</v>
      </c>
      <c r="DE89" s="24">
        <f t="shared" si="85"/>
        <v>2.3268546400218998E-2</v>
      </c>
      <c r="DF89" s="23"/>
      <c r="DG89" s="23">
        <v>85</v>
      </c>
      <c r="DH89" s="24">
        <f t="shared" si="86"/>
        <v>2.3268546400218998E-2</v>
      </c>
    </row>
    <row r="90" spans="1:112" s="27" customFormat="1" ht="10.15" customHeight="1">
      <c r="A90" s="22"/>
      <c r="B90" s="22"/>
      <c r="C90" s="123" t="s">
        <v>68</v>
      </c>
      <c r="D90" s="123"/>
      <c r="E90" s="123"/>
      <c r="F90" s="23">
        <f>SUM(F83:F86)</f>
        <v>65</v>
      </c>
      <c r="G90" s="24">
        <f>(F90/F82)</f>
        <v>4.2153047989623868E-2</v>
      </c>
      <c r="H90" s="23"/>
      <c r="I90" s="23">
        <f>SUM(I83:I86)</f>
        <v>86</v>
      </c>
      <c r="J90" s="24">
        <f>(I90/I82)</f>
        <v>5.2793124616329033E-2</v>
      </c>
      <c r="K90" s="25"/>
      <c r="L90" s="23">
        <f>SUM(L83:L86)</f>
        <v>99</v>
      </c>
      <c r="M90" s="24">
        <f>(L90/L82)</f>
        <v>6.0182370820668692E-2</v>
      </c>
      <c r="N90" s="26"/>
      <c r="O90" s="23">
        <f>SUM(O83:O86)</f>
        <v>106</v>
      </c>
      <c r="P90" s="24">
        <f>(O90/O82)</f>
        <v>6.173558532323821E-2</v>
      </c>
      <c r="Q90" s="26"/>
      <c r="R90" s="23">
        <f>SUM(R83:R86)</f>
        <v>126</v>
      </c>
      <c r="S90" s="24">
        <f>(R90/R82)</f>
        <v>6.8329718004338388E-2</v>
      </c>
      <c r="T90" s="26"/>
      <c r="U90" s="23">
        <f>SUM(U83:U86)</f>
        <v>149</v>
      </c>
      <c r="V90" s="24">
        <f>(U90/U82)</f>
        <v>7.4724172517552659E-2</v>
      </c>
      <c r="W90" s="26"/>
      <c r="X90" s="23">
        <f>SUM(X83:X86)</f>
        <v>153</v>
      </c>
      <c r="Y90" s="24">
        <f>(X90/X82)</f>
        <v>7.6653306613226446E-2</v>
      </c>
      <c r="Z90" s="26"/>
      <c r="AA90" s="23">
        <f>SUM(AA83:AA86)</f>
        <v>163</v>
      </c>
      <c r="AB90" s="24">
        <f>(AA90/AA82)</f>
        <v>7.8782020299661679E-2</v>
      </c>
      <c r="AC90" s="26"/>
      <c r="AD90" s="23">
        <f>SUM(AD83:AD86)</f>
        <v>157</v>
      </c>
      <c r="AE90" s="24">
        <f>(AD90/AD82)</f>
        <v>7.384760112888053E-2</v>
      </c>
      <c r="AF90" s="26"/>
      <c r="AG90" s="23">
        <f>SUM(AG83:AG86)</f>
        <v>170</v>
      </c>
      <c r="AH90" s="24">
        <f>(AG90/AG82)</f>
        <v>7.8053259871441696E-2</v>
      </c>
      <c r="AI90" s="26"/>
      <c r="AJ90" s="23">
        <f>SUM(AJ83:AJ86)</f>
        <v>169</v>
      </c>
      <c r="AK90" s="24">
        <f>(AJ90/AJ82)</f>
        <v>7.5682937751903268E-2</v>
      </c>
      <c r="AL90" s="26"/>
      <c r="AM90" s="23">
        <f>SUM(AM83:AM86)</f>
        <v>178</v>
      </c>
      <c r="AN90" s="24">
        <f>(AM90/AM82)</f>
        <v>7.8483245149911812E-2</v>
      </c>
      <c r="AO90" s="22"/>
      <c r="AP90" s="23">
        <f>SUM(AP83:AP86)</f>
        <v>173</v>
      </c>
      <c r="AQ90" s="24">
        <f>(AP90/AP82)</f>
        <v>7.7439570277529096E-2</v>
      </c>
      <c r="AR90" s="22"/>
      <c r="AS90" s="23">
        <f>SUM(AS83:AS86)</f>
        <v>193</v>
      </c>
      <c r="AT90" s="24">
        <f>(AS90/AS82)</f>
        <v>8.2373026034997868E-2</v>
      </c>
      <c r="AU90" s="22"/>
      <c r="AV90" s="23">
        <f>SUM(AV83:AV86)</f>
        <v>200</v>
      </c>
      <c r="AW90" s="24">
        <f>(AV90/AV82)</f>
        <v>8.4566596194503171E-2</v>
      </c>
      <c r="AX90" s="22"/>
      <c r="AY90" s="23">
        <f>SUM(AY83:AY86)</f>
        <v>191</v>
      </c>
      <c r="AZ90" s="24">
        <f>(AY90/AY82)</f>
        <v>8.0083857442348014E-2</v>
      </c>
      <c r="BA90" s="22"/>
      <c r="BB90" s="23">
        <f>SUM(BB83:BB86)</f>
        <v>228</v>
      </c>
      <c r="BC90" s="24">
        <f>(BB90/BB82)</f>
        <v>9.2758340113913748E-2</v>
      </c>
      <c r="BD90" s="22"/>
      <c r="BE90" s="23">
        <f>SUM(BE83:BE86)</f>
        <v>241</v>
      </c>
      <c r="BF90" s="24">
        <f>(BE90/BE82)</f>
        <v>9.4881889763779523E-2</v>
      </c>
      <c r="BG90" s="22"/>
      <c r="BH90" s="23">
        <f>SUM(BH83:BH86)</f>
        <v>241</v>
      </c>
      <c r="BI90" s="24">
        <f>(BH90/BH82)</f>
        <v>9.276366435719785E-2</v>
      </c>
      <c r="BJ90" s="22"/>
      <c r="BK90" s="23">
        <f>SUM(BK83:BK88)</f>
        <v>257</v>
      </c>
      <c r="BL90" s="24">
        <f>(BK90/BK82)</f>
        <v>9.8618572524942438E-2</v>
      </c>
      <c r="BM90" s="22"/>
      <c r="BN90" s="23">
        <f>SUM(BN83:BN88)</f>
        <v>258</v>
      </c>
      <c r="BO90" s="24">
        <f>(BN90/BN82)</f>
        <v>0.10552147239263804</v>
      </c>
      <c r="BP90" s="22"/>
      <c r="BQ90" s="23">
        <f>SUM(BQ83:BQ88)</f>
        <v>260</v>
      </c>
      <c r="BR90" s="24">
        <f>(BQ90/BQ82)</f>
        <v>0.10309278350515463</v>
      </c>
      <c r="BS90" s="22"/>
      <c r="BT90" s="23">
        <f>SUM(BT83:BT88)</f>
        <v>280</v>
      </c>
      <c r="BU90" s="24">
        <f>(BT90/BT82)</f>
        <v>0.10773374374759523</v>
      </c>
      <c r="BV90" s="22"/>
      <c r="BW90" s="23">
        <f>SUM(BW83:BW88)</f>
        <v>289</v>
      </c>
      <c r="BX90" s="24">
        <f>(BW90/BW82)</f>
        <v>0.10699740836727138</v>
      </c>
      <c r="BY90" s="22"/>
      <c r="BZ90" s="23">
        <f>SUM(BZ83:BZ88)</f>
        <v>301</v>
      </c>
      <c r="CA90" s="24">
        <f>(BZ90/BZ82)</f>
        <v>0.1076923076923077</v>
      </c>
      <c r="CB90" s="22"/>
      <c r="CC90" s="23">
        <f>SUM(CC83:CC88)</f>
        <v>325</v>
      </c>
      <c r="CD90" s="24">
        <f>(CC90/CC82)</f>
        <v>0.11176066024759285</v>
      </c>
      <c r="CE90" s="22"/>
      <c r="CF90" s="23">
        <f>SUM(CF83:CF88)</f>
        <v>359</v>
      </c>
      <c r="CG90" s="24">
        <f>(CF90/CF82)</f>
        <v>0.11942781104457752</v>
      </c>
      <c r="CH90" s="22"/>
      <c r="CI90" s="23">
        <f>SUM(CI83:CI88)</f>
        <v>384</v>
      </c>
      <c r="CJ90" s="24">
        <f>CI90/CI82</f>
        <v>0.12375120850789559</v>
      </c>
      <c r="CK90" s="22"/>
      <c r="CL90" s="23">
        <f>SUM(CL83:CL88)</f>
        <v>395</v>
      </c>
      <c r="CM90" s="24">
        <f t="shared" si="82"/>
        <v>0.12648094780659622</v>
      </c>
      <c r="CN90" s="22"/>
      <c r="CO90" s="83">
        <f>SUM(CO83:CO89)</f>
        <v>406</v>
      </c>
      <c r="CP90" s="24">
        <f t="shared" si="79"/>
        <v>0.12659806672903023</v>
      </c>
      <c r="CQ90" s="22"/>
      <c r="CR90" s="23">
        <f>SUM(CR83:CR89)</f>
        <v>425</v>
      </c>
      <c r="CS90" s="24">
        <f t="shared" si="80"/>
        <v>0.12953367875647667</v>
      </c>
      <c r="CT90" s="22"/>
      <c r="CU90" s="23">
        <f>SUM(CU83:CU89)</f>
        <v>419</v>
      </c>
      <c r="CV90" s="24">
        <f>CU90/$CX$82</f>
        <v>0.12022955523672883</v>
      </c>
      <c r="CW90" s="22"/>
      <c r="CX90" s="23">
        <f>SUM(CX83:CX89)</f>
        <v>444</v>
      </c>
      <c r="CY90" s="24">
        <f t="shared" si="81"/>
        <v>0.12740315638450503</v>
      </c>
      <c r="CZ90" s="23"/>
      <c r="DA90" s="23">
        <f>SUM(DA83:DA89)</f>
        <v>482</v>
      </c>
      <c r="DB90" s="24">
        <f t="shared" si="84"/>
        <v>0.13194634546947714</v>
      </c>
      <c r="DC90" s="23"/>
      <c r="DD90" s="23">
        <f>SUM(DD83:DD89)</f>
        <v>482</v>
      </c>
      <c r="DE90" s="24">
        <f t="shared" si="85"/>
        <v>0.13194634546947714</v>
      </c>
      <c r="DF90" s="23"/>
      <c r="DG90" s="23">
        <f>SUM(DG83:DG89)</f>
        <v>494</v>
      </c>
      <c r="DH90" s="24">
        <f t="shared" si="86"/>
        <v>0.13523131672597866</v>
      </c>
    </row>
    <row r="91" spans="1:112" s="27" customFormat="1" ht="10.15" customHeight="1">
      <c r="A91" s="22"/>
      <c r="B91" s="76" t="s">
        <v>38</v>
      </c>
      <c r="C91" s="76"/>
      <c r="D91" s="76"/>
      <c r="E91" s="76"/>
      <c r="F91" s="23">
        <v>1477</v>
      </c>
      <c r="G91" s="24">
        <f>(F91/F82)</f>
        <v>0.95784695201037617</v>
      </c>
      <c r="H91" s="23"/>
      <c r="I91" s="23">
        <v>1543</v>
      </c>
      <c r="J91" s="24">
        <f>(I91/I82)</f>
        <v>0.94720687538367099</v>
      </c>
      <c r="K91" s="25"/>
      <c r="L91" s="23">
        <v>1546</v>
      </c>
      <c r="M91" s="24">
        <f>(L91/L82)</f>
        <v>0.93981762917933132</v>
      </c>
      <c r="N91" s="26"/>
      <c r="O91" s="23">
        <v>1611</v>
      </c>
      <c r="P91" s="24">
        <f>(O91/O82)</f>
        <v>0.9382644146767618</v>
      </c>
      <c r="Q91" s="26"/>
      <c r="R91" s="23">
        <v>1718</v>
      </c>
      <c r="S91" s="24">
        <f>(R91/R82)</f>
        <v>0.9316702819956616</v>
      </c>
      <c r="T91" s="26"/>
      <c r="U91" s="23">
        <f>1834+11</f>
        <v>1845</v>
      </c>
      <c r="V91" s="24">
        <f>(U91/U82)</f>
        <v>0.9252758274824473</v>
      </c>
      <c r="W91" s="26"/>
      <c r="X91" s="23">
        <f>1822+21</f>
        <v>1843</v>
      </c>
      <c r="Y91" s="24">
        <f>(X91/X82)</f>
        <v>0.92334669338677355</v>
      </c>
      <c r="Z91" s="26"/>
      <c r="AA91" s="23">
        <f>1883+23</f>
        <v>1906</v>
      </c>
      <c r="AB91" s="24">
        <f>(AA91/AA82)</f>
        <v>0.92121797970033836</v>
      </c>
      <c r="AC91" s="26"/>
      <c r="AD91" s="23">
        <f>1944+25</f>
        <v>1969</v>
      </c>
      <c r="AE91" s="24">
        <f>(AD91/AD82)</f>
        <v>0.92615239887111944</v>
      </c>
      <c r="AF91" s="26"/>
      <c r="AG91" s="23">
        <f>1982+26</f>
        <v>2008</v>
      </c>
      <c r="AH91" s="24">
        <f>(AG91/AG82)</f>
        <v>0.92194674012855826</v>
      </c>
      <c r="AI91" s="26"/>
      <c r="AJ91" s="23">
        <f>2029+35</f>
        <v>2064</v>
      </c>
      <c r="AK91" s="24">
        <f>(AJ91/AJ82)</f>
        <v>0.92431706224809673</v>
      </c>
      <c r="AL91" s="26"/>
      <c r="AM91" s="23">
        <f>2053+37</f>
        <v>2090</v>
      </c>
      <c r="AN91" s="24">
        <f>(AM91/AM82)</f>
        <v>0.92151675485008822</v>
      </c>
      <c r="AO91" s="22"/>
      <c r="AP91" s="23">
        <f>2019+42</f>
        <v>2061</v>
      </c>
      <c r="AQ91" s="24">
        <f>(AP91/AP82)</f>
        <v>0.92256042972247088</v>
      </c>
      <c r="AR91" s="22"/>
      <c r="AS91" s="23">
        <f>2099+51</f>
        <v>2150</v>
      </c>
      <c r="AT91" s="24">
        <f>(AS91/AS82)</f>
        <v>0.91762697396500215</v>
      </c>
      <c r="AU91" s="22"/>
      <c r="AV91" s="23">
        <f>2112+53</f>
        <v>2165</v>
      </c>
      <c r="AW91" s="24">
        <f>(AV91/AV82)</f>
        <v>0.91543340380549687</v>
      </c>
      <c r="AX91" s="22"/>
      <c r="AY91" s="23">
        <v>2194</v>
      </c>
      <c r="AZ91" s="24">
        <f>(AY91/AY82)</f>
        <v>0.91991614255765197</v>
      </c>
      <c r="BA91" s="22"/>
      <c r="BB91" s="23">
        <v>2230</v>
      </c>
      <c r="BC91" s="24">
        <f>(BB91/BB82)</f>
        <v>0.90724165988608629</v>
      </c>
      <c r="BD91" s="22"/>
      <c r="BE91" s="23">
        <v>2299</v>
      </c>
      <c r="BF91" s="24">
        <f>(BE91/BE82)</f>
        <v>0.90511811023622046</v>
      </c>
      <c r="BG91" s="22"/>
      <c r="BH91" s="23">
        <v>2357</v>
      </c>
      <c r="BI91" s="24">
        <f>(BH91/BH82)</f>
        <v>0.90723633564280215</v>
      </c>
      <c r="BJ91" s="22"/>
      <c r="BK91" s="23">
        <v>2349</v>
      </c>
      <c r="BL91" s="24">
        <f>(BK91/BK82)</f>
        <v>0.90138142747505756</v>
      </c>
      <c r="BM91" s="22"/>
      <c r="BN91" s="23">
        <v>2187</v>
      </c>
      <c r="BO91" s="24">
        <f>(BN91/BN82)</f>
        <v>0.89447852760736202</v>
      </c>
      <c r="BP91" s="22"/>
      <c r="BQ91" s="23">
        <v>2262</v>
      </c>
      <c r="BR91" s="24">
        <f>(BQ91/BQ82)</f>
        <v>0.89690721649484539</v>
      </c>
      <c r="BS91" s="22"/>
      <c r="BT91" s="23">
        <v>2319</v>
      </c>
      <c r="BU91" s="24">
        <f>(BT91/BT82)</f>
        <v>0.89226625625240474</v>
      </c>
      <c r="BV91" s="22"/>
      <c r="BW91" s="23">
        <v>2412</v>
      </c>
      <c r="BX91" s="24">
        <f>(BW91/BW82)</f>
        <v>0.89300259163272866</v>
      </c>
      <c r="BY91" s="22"/>
      <c r="BZ91" s="23">
        <v>2494</v>
      </c>
      <c r="CA91" s="24">
        <f>(BZ91/BZ82)</f>
        <v>0.89230769230769236</v>
      </c>
      <c r="CB91" s="22"/>
      <c r="CC91" s="23">
        <v>2583</v>
      </c>
      <c r="CD91" s="24">
        <f>(CC91/CC82)</f>
        <v>0.8882393397524071</v>
      </c>
      <c r="CE91" s="22"/>
      <c r="CF91" s="23">
        <v>2647</v>
      </c>
      <c r="CG91" s="24">
        <f>(CF91/CF82)</f>
        <v>0.88057218895542244</v>
      </c>
      <c r="CH91" s="22"/>
      <c r="CI91" s="23">
        <v>2719</v>
      </c>
      <c r="CJ91" s="24">
        <f>CI91/CI82</f>
        <v>0.87624879149210444</v>
      </c>
      <c r="CK91" s="22"/>
      <c r="CL91" s="23">
        <v>2728</v>
      </c>
      <c r="CM91" s="24">
        <f t="shared" si="82"/>
        <v>0.87351905219340376</v>
      </c>
      <c r="CN91" s="22"/>
      <c r="CO91" s="83">
        <v>2786</v>
      </c>
      <c r="CP91" s="24">
        <f t="shared" si="79"/>
        <v>0.86872466479575927</v>
      </c>
      <c r="CQ91" s="22"/>
      <c r="CR91" s="23">
        <v>2844</v>
      </c>
      <c r="CS91" s="24">
        <f t="shared" si="80"/>
        <v>0.86680889972569342</v>
      </c>
      <c r="CT91" s="22"/>
      <c r="CU91" s="23">
        <v>2854</v>
      </c>
      <c r="CV91" s="24">
        <f>CU91/$CX$82</f>
        <v>0.81893830703012915</v>
      </c>
      <c r="CW91" s="22"/>
      <c r="CX91" s="23">
        <v>3032</v>
      </c>
      <c r="CY91" s="24">
        <f t="shared" si="81"/>
        <v>0.87001434720229553</v>
      </c>
      <c r="CZ91" s="23"/>
      <c r="DA91" s="23">
        <v>3170</v>
      </c>
      <c r="DB91" s="24">
        <f t="shared" si="84"/>
        <v>0.86777990692581441</v>
      </c>
      <c r="DC91" s="23"/>
      <c r="DD91" s="23">
        <v>3230</v>
      </c>
      <c r="DE91" s="24">
        <f t="shared" si="85"/>
        <v>0.88420476320832198</v>
      </c>
      <c r="DF91" s="23"/>
      <c r="DG91" s="23">
        <v>3194</v>
      </c>
      <c r="DH91" s="24">
        <f t="shared" si="86"/>
        <v>0.87434984943881744</v>
      </c>
    </row>
    <row r="92" spans="1:112" s="33" customFormat="1" ht="10.15" customHeight="1">
      <c r="A92" s="28"/>
      <c r="B92" s="130" t="s">
        <v>58</v>
      </c>
      <c r="C92" s="130"/>
      <c r="D92" s="130"/>
      <c r="E92" s="130"/>
      <c r="F92" s="29"/>
      <c r="G92" s="30"/>
      <c r="H92" s="29"/>
      <c r="I92" s="29"/>
      <c r="J92" s="30"/>
      <c r="K92" s="31"/>
      <c r="L92" s="29"/>
      <c r="M92" s="30"/>
      <c r="N92" s="32"/>
      <c r="O92" s="29"/>
      <c r="P92" s="30"/>
      <c r="Q92" s="32"/>
      <c r="R92" s="29"/>
      <c r="S92" s="30"/>
      <c r="T92" s="32"/>
      <c r="U92" s="29"/>
      <c r="V92" s="30"/>
      <c r="W92" s="32"/>
      <c r="X92" s="29"/>
      <c r="Y92" s="30"/>
      <c r="Z92" s="32"/>
      <c r="AA92" s="29"/>
      <c r="AB92" s="30"/>
      <c r="AC92" s="32"/>
      <c r="AD92" s="29"/>
      <c r="AE92" s="30"/>
      <c r="AF92" s="32"/>
      <c r="AG92" s="29"/>
      <c r="AH92" s="30"/>
      <c r="AI92" s="32"/>
      <c r="AJ92" s="29"/>
      <c r="AK92" s="30"/>
      <c r="AL92" s="32"/>
      <c r="AM92" s="29"/>
      <c r="AN92" s="30"/>
      <c r="AO92" s="28"/>
      <c r="AP92" s="29"/>
      <c r="AQ92" s="30"/>
      <c r="AR92" s="28"/>
      <c r="AS92" s="29"/>
      <c r="AT92" s="30"/>
      <c r="AU92" s="28"/>
      <c r="AV92" s="29"/>
      <c r="AW92" s="30"/>
      <c r="AX92" s="28"/>
      <c r="AY92" s="29"/>
      <c r="AZ92" s="30"/>
      <c r="BA92" s="28"/>
      <c r="BB92" s="29"/>
      <c r="BC92" s="30"/>
      <c r="BD92" s="28"/>
      <c r="BE92" s="29"/>
      <c r="BF92" s="30"/>
      <c r="BG92" s="28"/>
      <c r="BH92" s="29"/>
      <c r="BI92" s="30"/>
      <c r="BJ92" s="28"/>
      <c r="BK92" s="29"/>
      <c r="BL92" s="30"/>
      <c r="BM92" s="28"/>
      <c r="BN92" s="29"/>
      <c r="BO92" s="30"/>
      <c r="BP92" s="28"/>
      <c r="BQ92" s="29"/>
      <c r="BR92" s="30"/>
      <c r="BS92" s="28"/>
      <c r="BT92" s="29"/>
      <c r="BU92" s="30"/>
      <c r="BV92" s="28"/>
      <c r="BW92" s="29"/>
      <c r="BX92" s="30"/>
      <c r="BY92" s="28"/>
      <c r="BZ92" s="29"/>
      <c r="CA92" s="30"/>
      <c r="CB92" s="28"/>
      <c r="CC92" s="89" t="s">
        <v>59</v>
      </c>
      <c r="CD92" s="89" t="s">
        <v>60</v>
      </c>
      <c r="CE92" s="28"/>
      <c r="CF92" s="89" t="s">
        <v>59</v>
      </c>
      <c r="CG92" s="89" t="s">
        <v>61</v>
      </c>
      <c r="CH92" s="28"/>
      <c r="CI92" s="89" t="s">
        <v>59</v>
      </c>
      <c r="CJ92" s="89" t="s">
        <v>62</v>
      </c>
      <c r="CK92" s="28"/>
      <c r="CL92" s="89" t="s">
        <v>59</v>
      </c>
      <c r="CM92" s="89" t="s">
        <v>63</v>
      </c>
      <c r="CN92" s="28"/>
      <c r="CO92" s="84">
        <v>15</v>
      </c>
      <c r="CP92" s="30">
        <f t="shared" si="79"/>
        <v>4.6772684752104769E-3</v>
      </c>
      <c r="CQ92" s="28"/>
      <c r="CR92" s="29">
        <v>12</v>
      </c>
      <c r="CS92" s="30">
        <f t="shared" si="80"/>
        <v>3.6574215178299301E-3</v>
      </c>
      <c r="CT92" s="28"/>
      <c r="CU92" s="29">
        <v>3</v>
      </c>
      <c r="CV92" s="30">
        <f t="shared" ref="CV92" si="87">CU92/$CX$82</f>
        <v>8.6083213773314202E-4</v>
      </c>
      <c r="CW92" s="28"/>
      <c r="CX92" s="29">
        <v>9</v>
      </c>
      <c r="CY92" s="30">
        <f t="shared" si="81"/>
        <v>2.5824964131994262E-3</v>
      </c>
      <c r="CZ92" s="29"/>
      <c r="DA92" s="29">
        <v>1</v>
      </c>
      <c r="DB92" s="24">
        <f t="shared" si="84"/>
        <v>2.7374760470845878E-4</v>
      </c>
      <c r="DC92" s="29"/>
      <c r="DD92" s="29">
        <v>0</v>
      </c>
      <c r="DE92" s="24">
        <f t="shared" si="85"/>
        <v>0</v>
      </c>
      <c r="DF92" s="29"/>
      <c r="DG92" s="29">
        <v>0</v>
      </c>
      <c r="DH92" s="24">
        <f t="shared" si="86"/>
        <v>0</v>
      </c>
    </row>
    <row r="93" spans="1:112" s="44" customFormat="1" ht="15" customHeight="1">
      <c r="A93" s="115" t="s">
        <v>11</v>
      </c>
      <c r="B93" s="115"/>
      <c r="C93" s="115"/>
      <c r="D93" s="115"/>
      <c r="E93" s="115"/>
      <c r="F93" s="56"/>
      <c r="G93" s="57"/>
      <c r="H93" s="56"/>
      <c r="I93" s="56"/>
      <c r="J93" s="57"/>
      <c r="K93" s="58"/>
      <c r="L93" s="56"/>
      <c r="M93" s="57"/>
      <c r="N93" s="59"/>
      <c r="O93" s="56"/>
      <c r="P93" s="57"/>
      <c r="Q93" s="59"/>
      <c r="R93" s="56"/>
      <c r="S93" s="57"/>
      <c r="T93" s="59"/>
      <c r="U93" s="56">
        <f>SUM(U101:U102)</f>
        <v>46</v>
      </c>
      <c r="V93" s="57"/>
      <c r="W93" s="59"/>
      <c r="X93" s="56">
        <f>SUM(X101:X102)</f>
        <v>46</v>
      </c>
      <c r="Y93" s="57"/>
      <c r="Z93" s="59"/>
      <c r="AA93" s="56">
        <f>SUM(AA101:AA102)</f>
        <v>55</v>
      </c>
      <c r="AB93" s="57"/>
      <c r="AC93" s="59"/>
      <c r="AD93" s="56">
        <f>SUM(AD101:AD102)</f>
        <v>58</v>
      </c>
      <c r="AE93" s="57"/>
      <c r="AF93" s="59"/>
      <c r="AG93" s="56">
        <f>SUM(AG101:AG102)</f>
        <v>66</v>
      </c>
      <c r="AH93" s="57"/>
      <c r="AI93" s="59"/>
      <c r="AJ93" s="56">
        <f>SUM(AJ101:AJ102)</f>
        <v>54</v>
      </c>
      <c r="AK93" s="57"/>
      <c r="AL93" s="59"/>
      <c r="AM93" s="56">
        <f>SUM(AM101:AM102)</f>
        <v>53</v>
      </c>
      <c r="AN93" s="57"/>
      <c r="AP93" s="56">
        <f>SUM(AP101:AP102)</f>
        <v>58</v>
      </c>
      <c r="AQ93" s="57"/>
      <c r="AS93" s="56">
        <f>SUM(AS101:AS102)</f>
        <v>77</v>
      </c>
      <c r="AT93" s="57"/>
      <c r="AV93" s="56">
        <f>SUM(AV101:AV102)</f>
        <v>98</v>
      </c>
      <c r="AW93" s="57"/>
      <c r="AY93" s="56">
        <f>SUM(AY101:AY102)</f>
        <v>88</v>
      </c>
      <c r="AZ93" s="57"/>
      <c r="BB93" s="56">
        <f>SUM(BB101:BB102)</f>
        <v>95</v>
      </c>
      <c r="BC93" s="57"/>
      <c r="BE93" s="56">
        <f>SUM(BE101:BE102)</f>
        <v>96</v>
      </c>
      <c r="BF93" s="57"/>
      <c r="BH93" s="56">
        <f>SUM(BH101:BH102)</f>
        <v>97</v>
      </c>
      <c r="BI93" s="57"/>
      <c r="BK93" s="56">
        <f>SUM(BK101:BK102)</f>
        <v>90</v>
      </c>
      <c r="BL93" s="57"/>
      <c r="BN93" s="56">
        <f>SUM(BN101:BN102)</f>
        <v>92</v>
      </c>
      <c r="BO93" s="57"/>
      <c r="BQ93" s="56">
        <f>SUM(BQ101:BQ102)</f>
        <v>95</v>
      </c>
      <c r="BR93" s="57"/>
      <c r="BT93" s="56">
        <f>SUM(BT101:BT102)</f>
        <v>95</v>
      </c>
      <c r="BU93" s="57"/>
      <c r="BW93" s="63">
        <f>SUM(BW101:BW102)</f>
        <v>98</v>
      </c>
      <c r="BX93" s="64"/>
      <c r="BY93" s="65"/>
      <c r="BZ93" s="63">
        <f>SUM(BZ101:BZ102)</f>
        <v>100</v>
      </c>
      <c r="CA93" s="64"/>
      <c r="CB93" s="65"/>
      <c r="CC93" s="63">
        <f>SUM(CC101:CC102)</f>
        <v>99</v>
      </c>
      <c r="CD93" s="64"/>
      <c r="CE93" s="65"/>
      <c r="CF93" s="63">
        <f>SUM(CF101:CF102)</f>
        <v>105</v>
      </c>
      <c r="CG93" s="64"/>
      <c r="CH93" s="65"/>
      <c r="CI93" s="63">
        <f>SUM(CI102,CI94:CI99)</f>
        <v>102</v>
      </c>
      <c r="CJ93" s="57"/>
      <c r="CK93" s="65"/>
      <c r="CL93" s="63">
        <f>CL102+CL99+CL98+CL97+CL96+CL95+CL94</f>
        <v>103</v>
      </c>
      <c r="CM93" s="57"/>
      <c r="CN93" s="65"/>
      <c r="CO93" s="85">
        <f>CO102+CO99+CO98+CO97+CO96+CO95+CO94+CO103</f>
        <v>102</v>
      </c>
      <c r="CP93" s="57"/>
      <c r="CQ93" s="65"/>
      <c r="CR93" s="63">
        <f>CR101+CR102+CR103</f>
        <v>102</v>
      </c>
      <c r="CS93" s="57"/>
      <c r="CT93" s="65"/>
      <c r="CU93" s="63">
        <f>CU101+CU102+CU103</f>
        <v>114</v>
      </c>
      <c r="CV93" s="57"/>
      <c r="CW93" s="65"/>
      <c r="CX93" s="63">
        <f>CX101+CX102+CX103</f>
        <v>117</v>
      </c>
      <c r="CY93" s="57"/>
      <c r="CZ93" s="63"/>
      <c r="DA93" s="63">
        <f>DA101+DA102+DA103</f>
        <v>126</v>
      </c>
      <c r="DB93" s="57"/>
      <c r="DC93" s="63"/>
      <c r="DD93" s="63">
        <f>DD101+DD102+DD103</f>
        <v>125</v>
      </c>
      <c r="DE93" s="57"/>
      <c r="DF93" s="63"/>
      <c r="DG93" s="63">
        <f>DG101+DG102+DG103</f>
        <v>128</v>
      </c>
      <c r="DH93" s="57"/>
    </row>
    <row r="94" spans="1:112" s="27" customFormat="1" ht="10.15" customHeight="1">
      <c r="B94" s="118" t="s">
        <v>55</v>
      </c>
      <c r="C94" s="118"/>
      <c r="D94" s="118"/>
      <c r="E94" s="118"/>
      <c r="F94" s="34"/>
      <c r="G94" s="35"/>
      <c r="H94" s="34"/>
      <c r="I94" s="34"/>
      <c r="J94" s="35"/>
      <c r="K94" s="36"/>
      <c r="L94" s="34"/>
      <c r="M94" s="35"/>
      <c r="N94" s="37"/>
      <c r="O94" s="34"/>
      <c r="P94" s="35"/>
      <c r="Q94" s="37"/>
      <c r="R94" s="34"/>
      <c r="S94" s="35"/>
      <c r="T94" s="37"/>
      <c r="U94" s="34">
        <v>4</v>
      </c>
      <c r="V94" s="35">
        <f>(U94/U93)</f>
        <v>8.6956521739130432E-2</v>
      </c>
      <c r="W94" s="37"/>
      <c r="X94" s="34">
        <v>4</v>
      </c>
      <c r="Y94" s="35">
        <f>(X94/X93)</f>
        <v>8.6956521739130432E-2</v>
      </c>
      <c r="Z94" s="37"/>
      <c r="AA94" s="34">
        <v>5</v>
      </c>
      <c r="AB94" s="35">
        <f>(AA94/AA93)</f>
        <v>9.0909090909090912E-2</v>
      </c>
      <c r="AC94" s="37"/>
      <c r="AD94" s="34">
        <v>4</v>
      </c>
      <c r="AE94" s="35">
        <f>(AD94/AD93)</f>
        <v>6.8965517241379309E-2</v>
      </c>
      <c r="AF94" s="37"/>
      <c r="AG94" s="34">
        <v>6</v>
      </c>
      <c r="AH94" s="35">
        <f>(AG94/AG93)</f>
        <v>9.0909090909090912E-2</v>
      </c>
      <c r="AI94" s="37"/>
      <c r="AJ94" s="34">
        <v>6</v>
      </c>
      <c r="AK94" s="35">
        <f>(AJ94/AJ93)</f>
        <v>0.1111111111111111</v>
      </c>
      <c r="AL94" s="37"/>
      <c r="AM94" s="34">
        <v>6</v>
      </c>
      <c r="AN94" s="35">
        <f>(AM94/AM93)</f>
        <v>0.11320754716981132</v>
      </c>
      <c r="AP94" s="34">
        <v>7</v>
      </c>
      <c r="AQ94" s="35">
        <f>(AP94/AP93)</f>
        <v>0.1206896551724138</v>
      </c>
      <c r="AS94" s="34">
        <v>10</v>
      </c>
      <c r="AT94" s="35">
        <f>(AS94/AS93)</f>
        <v>0.12987012987012986</v>
      </c>
      <c r="AV94" s="34">
        <v>9</v>
      </c>
      <c r="AW94" s="35">
        <f>(AV94/AV93)</f>
        <v>9.1836734693877556E-2</v>
      </c>
      <c r="AY94" s="34">
        <v>9</v>
      </c>
      <c r="AZ94" s="35">
        <f>(AY94/AY93)</f>
        <v>0.10227272727272728</v>
      </c>
      <c r="BB94" s="34">
        <v>10</v>
      </c>
      <c r="BC94" s="35">
        <f>(BB94/BB93)</f>
        <v>0.10526315789473684</v>
      </c>
      <c r="BE94" s="34">
        <v>11</v>
      </c>
      <c r="BF94" s="35">
        <f>(BE94/BE93)</f>
        <v>0.11458333333333333</v>
      </c>
      <c r="BH94" s="34">
        <v>11</v>
      </c>
      <c r="BI94" s="35">
        <f>(BH94/BH93)</f>
        <v>0.1134020618556701</v>
      </c>
      <c r="BK94" s="34">
        <v>9</v>
      </c>
      <c r="BL94" s="35">
        <f>(BK94/BK93)</f>
        <v>0.1</v>
      </c>
      <c r="BN94" s="34">
        <v>9</v>
      </c>
      <c r="BO94" s="35">
        <f>(BN94/BN93)</f>
        <v>9.7826086956521743E-2</v>
      </c>
      <c r="BQ94" s="34">
        <v>9</v>
      </c>
      <c r="BR94" s="35">
        <f>(BQ94/BQ93)</f>
        <v>9.4736842105263161E-2</v>
      </c>
      <c r="BT94" s="34">
        <v>9</v>
      </c>
      <c r="BU94" s="35">
        <f>(BT94/BT93)</f>
        <v>9.4736842105263161E-2</v>
      </c>
      <c r="BW94" s="34">
        <v>9</v>
      </c>
      <c r="BX94" s="35">
        <f>(BW94/BW93)</f>
        <v>9.1836734693877556E-2</v>
      </c>
      <c r="BZ94" s="34">
        <v>11</v>
      </c>
      <c r="CA94" s="35">
        <f>(BZ94/BZ93)</f>
        <v>0.11</v>
      </c>
      <c r="CC94" s="34">
        <v>11</v>
      </c>
      <c r="CD94" s="35">
        <f>(CC94/CC93)</f>
        <v>0.1111111111111111</v>
      </c>
      <c r="CF94" s="34">
        <v>12</v>
      </c>
      <c r="CG94" s="35">
        <f>(CF94/CF93)</f>
        <v>0.11428571428571428</v>
      </c>
      <c r="CI94" s="34">
        <v>9</v>
      </c>
      <c r="CJ94" s="35">
        <f>CI94/CI93</f>
        <v>8.8235294117647065E-2</v>
      </c>
      <c r="CL94" s="34">
        <v>9</v>
      </c>
      <c r="CM94" s="35">
        <f>CL94/103</f>
        <v>8.7378640776699032E-2</v>
      </c>
      <c r="CO94" s="86">
        <v>9</v>
      </c>
      <c r="CP94" s="35">
        <v>8.8235294117647065E-2</v>
      </c>
      <c r="CR94" s="34">
        <v>6</v>
      </c>
      <c r="CS94" s="35">
        <f t="shared" ref="CS94:CS103" si="88">CR94/$CR$93</f>
        <v>5.8823529411764705E-2</v>
      </c>
      <c r="CU94" s="34">
        <v>6</v>
      </c>
      <c r="CV94" s="35">
        <f>CU94/$CX$93</f>
        <v>5.128205128205128E-2</v>
      </c>
      <c r="CX94" s="34">
        <v>11</v>
      </c>
      <c r="CY94" s="35">
        <f t="shared" ref="CY94:CY103" si="89">CX94/$CX$93</f>
        <v>9.4017094017094016E-2</v>
      </c>
      <c r="CZ94" s="34"/>
      <c r="DA94" s="34">
        <v>14</v>
      </c>
      <c r="DB94" s="35">
        <f>DA94/$DA$93</f>
        <v>0.1111111111111111</v>
      </c>
      <c r="DC94" s="34"/>
      <c r="DD94" s="34">
        <v>15</v>
      </c>
      <c r="DE94" s="35">
        <f>DD94/$DA$93</f>
        <v>0.11904761904761904</v>
      </c>
      <c r="DF94" s="34"/>
      <c r="DG94" s="34">
        <v>15</v>
      </c>
      <c r="DH94" s="35">
        <f>DG94/$DA$93</f>
        <v>0.11904761904761904</v>
      </c>
    </row>
    <row r="95" spans="1:112" s="27" customFormat="1" ht="10.15" customHeight="1">
      <c r="B95" s="118" t="s">
        <v>9</v>
      </c>
      <c r="C95" s="118"/>
      <c r="D95" s="118"/>
      <c r="E95" s="118"/>
      <c r="F95" s="34"/>
      <c r="G95" s="35"/>
      <c r="H95" s="34"/>
      <c r="I95" s="34"/>
      <c r="J95" s="35"/>
      <c r="K95" s="36"/>
      <c r="L95" s="34"/>
      <c r="M95" s="35"/>
      <c r="N95" s="37"/>
      <c r="O95" s="34"/>
      <c r="P95" s="35"/>
      <c r="Q95" s="37"/>
      <c r="R95" s="34"/>
      <c r="S95" s="35"/>
      <c r="T95" s="37"/>
      <c r="U95" s="34">
        <v>0</v>
      </c>
      <c r="V95" s="35">
        <f>(U95/U93)</f>
        <v>0</v>
      </c>
      <c r="W95" s="37"/>
      <c r="X95" s="34">
        <v>1</v>
      </c>
      <c r="Y95" s="35">
        <f>(X95/X93)</f>
        <v>2.1739130434782608E-2</v>
      </c>
      <c r="Z95" s="37"/>
      <c r="AA95" s="34">
        <v>1</v>
      </c>
      <c r="AB95" s="35">
        <f>(AA95/AA93)</f>
        <v>1.8181818181818181E-2</v>
      </c>
      <c r="AC95" s="37"/>
      <c r="AD95" s="34">
        <v>0</v>
      </c>
      <c r="AE95" s="35">
        <f>(AD95/AD93)</f>
        <v>0</v>
      </c>
      <c r="AF95" s="37"/>
      <c r="AG95" s="34">
        <v>0</v>
      </c>
      <c r="AH95" s="35">
        <f>(AG95/AG93)</f>
        <v>0</v>
      </c>
      <c r="AI95" s="37"/>
      <c r="AJ95" s="34">
        <v>0</v>
      </c>
      <c r="AK95" s="35">
        <f>(AJ95/AJ93)</f>
        <v>0</v>
      </c>
      <c r="AL95" s="37"/>
      <c r="AM95" s="34">
        <v>0</v>
      </c>
      <c r="AN95" s="35">
        <f>(AM95/AM93)</f>
        <v>0</v>
      </c>
      <c r="AP95" s="34">
        <v>0</v>
      </c>
      <c r="AQ95" s="35">
        <f>(AP95/AP93)</f>
        <v>0</v>
      </c>
      <c r="AS95" s="34">
        <v>0</v>
      </c>
      <c r="AT95" s="35">
        <f>(AS95/AS93)</f>
        <v>0</v>
      </c>
      <c r="AV95" s="34">
        <v>0</v>
      </c>
      <c r="AW95" s="35">
        <f>(AV95/AV93)</f>
        <v>0</v>
      </c>
      <c r="AY95" s="34">
        <v>0</v>
      </c>
      <c r="AZ95" s="35">
        <f>(AY95/AY93)</f>
        <v>0</v>
      </c>
      <c r="BB95" s="34">
        <v>0</v>
      </c>
      <c r="BC95" s="35">
        <f>(BB95/BB93)</f>
        <v>0</v>
      </c>
      <c r="BE95" s="34">
        <v>0</v>
      </c>
      <c r="BF95" s="35">
        <f>(BE95/BE93)</f>
        <v>0</v>
      </c>
      <c r="BH95" s="34">
        <v>0</v>
      </c>
      <c r="BI95" s="35">
        <f>(BH95/BH93)</f>
        <v>0</v>
      </c>
      <c r="BK95" s="34">
        <v>0</v>
      </c>
      <c r="BL95" s="35">
        <f>(BK95/BK93)</f>
        <v>0</v>
      </c>
      <c r="BN95" s="34">
        <v>0</v>
      </c>
      <c r="BO95" s="35">
        <f>(BN95/BN93)</f>
        <v>0</v>
      </c>
      <c r="BQ95" s="34">
        <v>0</v>
      </c>
      <c r="BR95" s="35">
        <f>(BQ95/BQ93)</f>
        <v>0</v>
      </c>
      <c r="BT95" s="34">
        <v>0</v>
      </c>
      <c r="BU95" s="35">
        <f>(BT95/BT93)</f>
        <v>0</v>
      </c>
      <c r="BW95" s="34">
        <v>0</v>
      </c>
      <c r="BX95" s="35">
        <f>(BW95/BW93)</f>
        <v>0</v>
      </c>
      <c r="BZ95" s="34">
        <v>0</v>
      </c>
      <c r="CA95" s="35">
        <f>(BZ95/BZ93)</f>
        <v>0</v>
      </c>
      <c r="CC95" s="34">
        <v>0</v>
      </c>
      <c r="CD95" s="35">
        <f>(CC95/CC93)</f>
        <v>0</v>
      </c>
      <c r="CF95" s="34">
        <v>0</v>
      </c>
      <c r="CG95" s="35">
        <f>(CF95/CF93)</f>
        <v>0</v>
      </c>
      <c r="CI95" s="34">
        <v>0</v>
      </c>
      <c r="CJ95" s="35">
        <f>CI95/CI93</f>
        <v>0</v>
      </c>
      <c r="CL95" s="34">
        <v>0</v>
      </c>
      <c r="CM95" s="35">
        <f t="shared" ref="CM95:CM102" si="90">CL95/103</f>
        <v>0</v>
      </c>
      <c r="CO95" s="86">
        <v>0</v>
      </c>
      <c r="CP95" s="35">
        <v>0</v>
      </c>
      <c r="CR95" s="34">
        <v>1</v>
      </c>
      <c r="CS95" s="35">
        <f t="shared" si="88"/>
        <v>9.8039215686274508E-3</v>
      </c>
      <c r="CU95" s="34">
        <v>0</v>
      </c>
      <c r="CV95" s="35">
        <f t="shared" ref="CV95:CV103" si="91">CU95/$CX$93</f>
        <v>0</v>
      </c>
      <c r="CX95" s="34">
        <v>0</v>
      </c>
      <c r="CY95" s="35">
        <f t="shared" si="89"/>
        <v>0</v>
      </c>
      <c r="CZ95" s="34"/>
      <c r="DA95" s="34">
        <v>0</v>
      </c>
      <c r="DB95" s="35">
        <f t="shared" ref="DB95:DB103" si="92">DA95/$DA$93</f>
        <v>0</v>
      </c>
      <c r="DC95" s="34"/>
      <c r="DD95" s="34">
        <v>0</v>
      </c>
      <c r="DE95" s="35">
        <f t="shared" ref="DE95:DE103" si="93">DD95/$DA$93</f>
        <v>0</v>
      </c>
      <c r="DF95" s="34"/>
      <c r="DG95" s="34">
        <v>0</v>
      </c>
      <c r="DH95" s="35">
        <f t="shared" ref="DH95:DH103" si="94">DG95/$DA$93</f>
        <v>0</v>
      </c>
    </row>
    <row r="96" spans="1:112" s="27" customFormat="1" ht="10.15" customHeight="1">
      <c r="B96" s="118" t="s">
        <v>32</v>
      </c>
      <c r="C96" s="118"/>
      <c r="D96" s="118"/>
      <c r="E96" s="118"/>
      <c r="F96" s="34"/>
      <c r="G96" s="35"/>
      <c r="H96" s="34"/>
      <c r="I96" s="34"/>
      <c r="J96" s="35"/>
      <c r="K96" s="36"/>
      <c r="L96" s="34"/>
      <c r="M96" s="35"/>
      <c r="N96" s="37"/>
      <c r="O96" s="34"/>
      <c r="P96" s="35"/>
      <c r="Q96" s="37"/>
      <c r="R96" s="34"/>
      <c r="S96" s="35"/>
      <c r="T96" s="37"/>
      <c r="U96" s="34">
        <v>1</v>
      </c>
      <c r="V96" s="35">
        <f>(U96/U93)</f>
        <v>2.1739130434782608E-2</v>
      </c>
      <c r="W96" s="37"/>
      <c r="X96" s="34">
        <v>1</v>
      </c>
      <c r="Y96" s="35">
        <f>(X96/X93)</f>
        <v>2.1739130434782608E-2</v>
      </c>
      <c r="Z96" s="37"/>
      <c r="AA96" s="34">
        <v>0</v>
      </c>
      <c r="AB96" s="35">
        <f>(AA96/AA93)</f>
        <v>0</v>
      </c>
      <c r="AC96" s="37"/>
      <c r="AD96" s="34">
        <v>0</v>
      </c>
      <c r="AE96" s="35">
        <f>(AD96/AD93)</f>
        <v>0</v>
      </c>
      <c r="AF96" s="37"/>
      <c r="AG96" s="34">
        <v>0</v>
      </c>
      <c r="AH96" s="35">
        <f>(AG96/AG93)</f>
        <v>0</v>
      </c>
      <c r="AI96" s="37"/>
      <c r="AJ96" s="34">
        <v>0</v>
      </c>
      <c r="AK96" s="35">
        <f>(AJ96/AJ93)</f>
        <v>0</v>
      </c>
      <c r="AL96" s="37"/>
      <c r="AM96" s="34">
        <v>0</v>
      </c>
      <c r="AN96" s="35">
        <f>(AM96/AM93)</f>
        <v>0</v>
      </c>
      <c r="AP96" s="34">
        <v>0</v>
      </c>
      <c r="AQ96" s="35">
        <f>(AP96/AP93)</f>
        <v>0</v>
      </c>
      <c r="AS96" s="34">
        <v>0</v>
      </c>
      <c r="AT96" s="35">
        <f>(AS96/AS93)</f>
        <v>0</v>
      </c>
      <c r="AV96" s="34">
        <v>0</v>
      </c>
      <c r="AW96" s="35">
        <f>(AV96/AV93)</f>
        <v>0</v>
      </c>
      <c r="AY96" s="34">
        <v>1</v>
      </c>
      <c r="AZ96" s="35">
        <f>(AY96/AY93)</f>
        <v>1.1363636363636364E-2</v>
      </c>
      <c r="BB96" s="34">
        <v>2</v>
      </c>
      <c r="BC96" s="35">
        <f>(BB96/BB93)</f>
        <v>2.1052631578947368E-2</v>
      </c>
      <c r="BE96" s="34">
        <v>3</v>
      </c>
      <c r="BF96" s="35">
        <f>(BE96/BE93)</f>
        <v>3.125E-2</v>
      </c>
      <c r="BH96" s="34">
        <v>2</v>
      </c>
      <c r="BI96" s="35">
        <f>(BH96/BH93)</f>
        <v>2.0618556701030927E-2</v>
      </c>
      <c r="BK96" s="34">
        <v>1</v>
      </c>
      <c r="BL96" s="35">
        <f>(BK96/BK93)</f>
        <v>1.1111111111111112E-2</v>
      </c>
      <c r="BN96" s="34">
        <v>1</v>
      </c>
      <c r="BO96" s="35">
        <f>(BN96/BN93)</f>
        <v>1.0869565217391304E-2</v>
      </c>
      <c r="BQ96" s="34">
        <v>1</v>
      </c>
      <c r="BR96" s="35">
        <f>(BQ96/BQ93)</f>
        <v>1.0526315789473684E-2</v>
      </c>
      <c r="BT96" s="34">
        <v>0</v>
      </c>
      <c r="BU96" s="35">
        <f>(BT96/BT93)</f>
        <v>0</v>
      </c>
      <c r="BW96" s="34">
        <v>1</v>
      </c>
      <c r="BX96" s="35">
        <f>(BW96/BW93)</f>
        <v>1.020408163265306E-2</v>
      </c>
      <c r="BZ96" s="34">
        <v>0</v>
      </c>
      <c r="CA96" s="35">
        <f>(BZ96/BZ93)</f>
        <v>0</v>
      </c>
      <c r="CC96" s="34">
        <v>0</v>
      </c>
      <c r="CD96" s="35">
        <f>(CC96/CC93)</f>
        <v>0</v>
      </c>
      <c r="CF96" s="34">
        <v>0</v>
      </c>
      <c r="CG96" s="35">
        <f>(CF96/CF93)</f>
        <v>0</v>
      </c>
      <c r="CI96" s="34">
        <v>0</v>
      </c>
      <c r="CJ96" s="35">
        <f>CI96/CI93</f>
        <v>0</v>
      </c>
      <c r="CL96" s="34">
        <v>0</v>
      </c>
      <c r="CM96" s="35">
        <f t="shared" si="90"/>
        <v>0</v>
      </c>
      <c r="CO96" s="86">
        <v>0</v>
      </c>
      <c r="CP96" s="35">
        <v>0</v>
      </c>
      <c r="CR96" s="34">
        <v>1</v>
      </c>
      <c r="CS96" s="35">
        <f t="shared" si="88"/>
        <v>9.8039215686274508E-3</v>
      </c>
      <c r="CU96" s="34">
        <v>3</v>
      </c>
      <c r="CV96" s="35">
        <f t="shared" si="91"/>
        <v>2.564102564102564E-2</v>
      </c>
      <c r="CX96" s="34">
        <v>1</v>
      </c>
      <c r="CY96" s="35">
        <f t="shared" si="89"/>
        <v>8.5470085470085479E-3</v>
      </c>
      <c r="CZ96" s="34"/>
      <c r="DA96" s="34">
        <v>0</v>
      </c>
      <c r="DB96" s="35">
        <f t="shared" si="92"/>
        <v>0</v>
      </c>
      <c r="DC96" s="34"/>
      <c r="DD96" s="34">
        <v>0</v>
      </c>
      <c r="DE96" s="35">
        <f t="shared" si="93"/>
        <v>0</v>
      </c>
      <c r="DF96" s="34"/>
      <c r="DG96" s="34">
        <v>0</v>
      </c>
      <c r="DH96" s="35">
        <f t="shared" si="94"/>
        <v>0</v>
      </c>
    </row>
    <row r="97" spans="1:112" s="27" customFormat="1" ht="10.15" customHeight="1">
      <c r="B97" s="118" t="s">
        <v>10</v>
      </c>
      <c r="C97" s="118"/>
      <c r="D97" s="118"/>
      <c r="E97" s="118"/>
      <c r="F97" s="34"/>
      <c r="G97" s="35"/>
      <c r="H97" s="34"/>
      <c r="I97" s="34"/>
      <c r="J97" s="35"/>
      <c r="K97" s="36"/>
      <c r="L97" s="34"/>
      <c r="M97" s="35"/>
      <c r="N97" s="37"/>
      <c r="O97" s="34"/>
      <c r="P97" s="35"/>
      <c r="Q97" s="37"/>
      <c r="R97" s="34"/>
      <c r="S97" s="35"/>
      <c r="T97" s="37"/>
      <c r="U97" s="34">
        <v>2</v>
      </c>
      <c r="V97" s="35">
        <f>(U97/U93)</f>
        <v>4.3478260869565216E-2</v>
      </c>
      <c r="W97" s="37"/>
      <c r="X97" s="34">
        <v>3</v>
      </c>
      <c r="Y97" s="35">
        <f>(X97/X93)</f>
        <v>6.5217391304347824E-2</v>
      </c>
      <c r="Z97" s="37"/>
      <c r="AA97" s="34">
        <v>3</v>
      </c>
      <c r="AB97" s="35">
        <f>(AA97/AA93)</f>
        <v>5.4545454545454543E-2</v>
      </c>
      <c r="AC97" s="37"/>
      <c r="AD97" s="34">
        <v>2</v>
      </c>
      <c r="AE97" s="35">
        <f>(AD97/AD93)</f>
        <v>3.4482758620689655E-2</v>
      </c>
      <c r="AF97" s="37"/>
      <c r="AG97" s="34">
        <v>2</v>
      </c>
      <c r="AH97" s="35">
        <f>(AG97/AG93)</f>
        <v>3.0303030303030304E-2</v>
      </c>
      <c r="AI97" s="37"/>
      <c r="AJ97" s="34">
        <v>1</v>
      </c>
      <c r="AK97" s="35">
        <f>(AJ97/AJ93)</f>
        <v>1.8518518518518517E-2</v>
      </c>
      <c r="AL97" s="37"/>
      <c r="AM97" s="34">
        <v>0</v>
      </c>
      <c r="AN97" s="35">
        <f>(AM97/AM93)</f>
        <v>0</v>
      </c>
      <c r="AP97" s="34">
        <v>0</v>
      </c>
      <c r="AQ97" s="35">
        <f>(AP97/AP93)</f>
        <v>0</v>
      </c>
      <c r="AS97" s="34">
        <v>0</v>
      </c>
      <c r="AT97" s="35">
        <f>(AS97/AS93)</f>
        <v>0</v>
      </c>
      <c r="AV97" s="34">
        <v>1</v>
      </c>
      <c r="AW97" s="35">
        <f>(AV97/AV93)</f>
        <v>1.020408163265306E-2</v>
      </c>
      <c r="AY97" s="34">
        <v>1</v>
      </c>
      <c r="AZ97" s="35">
        <f>(AY97/AY93)</f>
        <v>1.1363636363636364E-2</v>
      </c>
      <c r="BB97" s="34">
        <v>0</v>
      </c>
      <c r="BC97" s="35">
        <f>(BB97/BB93)</f>
        <v>0</v>
      </c>
      <c r="BE97" s="34">
        <v>1</v>
      </c>
      <c r="BF97" s="35">
        <f>(BE97/BE93)</f>
        <v>1.0416666666666666E-2</v>
      </c>
      <c r="BH97" s="34">
        <v>1</v>
      </c>
      <c r="BI97" s="35">
        <f>(BH97/BH93)</f>
        <v>1.0309278350515464E-2</v>
      </c>
      <c r="BK97" s="34">
        <v>1</v>
      </c>
      <c r="BL97" s="35">
        <f>(BK97/BK93)</f>
        <v>1.1111111111111112E-2</v>
      </c>
      <c r="BN97" s="34">
        <v>1</v>
      </c>
      <c r="BO97" s="35">
        <f>(BN97/BN93)</f>
        <v>1.0869565217391304E-2</v>
      </c>
      <c r="BQ97" s="34">
        <v>2</v>
      </c>
      <c r="BR97" s="35">
        <f>(BQ97/BQ93)</f>
        <v>2.1052631578947368E-2</v>
      </c>
      <c r="BT97" s="34">
        <v>2</v>
      </c>
      <c r="BU97" s="35">
        <f>(BT97/BT93)</f>
        <v>2.1052631578947368E-2</v>
      </c>
      <c r="BW97" s="34">
        <v>1</v>
      </c>
      <c r="BX97" s="35">
        <f>(BW97/BW93)</f>
        <v>1.020408163265306E-2</v>
      </c>
      <c r="BZ97" s="34">
        <v>1</v>
      </c>
      <c r="CA97" s="35">
        <f>(BZ97/BZ93)</f>
        <v>0.01</v>
      </c>
      <c r="CC97" s="34">
        <v>2</v>
      </c>
      <c r="CD97" s="35">
        <f>(CC97/CC93)</f>
        <v>2.0202020202020204E-2</v>
      </c>
      <c r="CF97" s="34">
        <v>5</v>
      </c>
      <c r="CG97" s="35">
        <f>(CF97/CF93)</f>
        <v>4.7619047619047616E-2</v>
      </c>
      <c r="CI97" s="34">
        <v>5</v>
      </c>
      <c r="CJ97" s="35">
        <f>CI97/CI93</f>
        <v>4.9019607843137254E-2</v>
      </c>
      <c r="CL97" s="34">
        <v>7</v>
      </c>
      <c r="CM97" s="35">
        <f t="shared" si="90"/>
        <v>6.7961165048543687E-2</v>
      </c>
      <c r="CO97" s="86">
        <v>5</v>
      </c>
      <c r="CP97" s="35">
        <v>4.9019607843137254E-2</v>
      </c>
      <c r="CR97" s="34">
        <v>4</v>
      </c>
      <c r="CS97" s="35">
        <f t="shared" si="88"/>
        <v>3.9215686274509803E-2</v>
      </c>
      <c r="CU97" s="34">
        <v>7</v>
      </c>
      <c r="CV97" s="35">
        <f t="shared" si="91"/>
        <v>5.9829059829059832E-2</v>
      </c>
      <c r="CX97" s="34">
        <v>5</v>
      </c>
      <c r="CY97" s="35">
        <f t="shared" si="89"/>
        <v>4.2735042735042736E-2</v>
      </c>
      <c r="CZ97" s="34"/>
      <c r="DA97" s="34">
        <v>6</v>
      </c>
      <c r="DB97" s="35">
        <f t="shared" si="92"/>
        <v>4.7619047619047616E-2</v>
      </c>
      <c r="DC97" s="34"/>
      <c r="DD97" s="34">
        <v>5</v>
      </c>
      <c r="DE97" s="35">
        <f t="shared" si="93"/>
        <v>3.968253968253968E-2</v>
      </c>
      <c r="DF97" s="34"/>
      <c r="DG97" s="34">
        <v>6</v>
      </c>
      <c r="DH97" s="35">
        <f t="shared" si="94"/>
        <v>4.7619047619047616E-2</v>
      </c>
    </row>
    <row r="98" spans="1:112" s="27" customFormat="1" ht="10.15" customHeight="1">
      <c r="B98" s="118" t="s">
        <v>33</v>
      </c>
      <c r="C98" s="118"/>
      <c r="D98" s="118"/>
      <c r="E98" s="118"/>
      <c r="F98" s="34"/>
      <c r="G98" s="35"/>
      <c r="H98" s="34"/>
      <c r="I98" s="34"/>
      <c r="J98" s="35"/>
      <c r="K98" s="36"/>
      <c r="L98" s="34"/>
      <c r="M98" s="35"/>
      <c r="N98" s="37"/>
      <c r="O98" s="34"/>
      <c r="P98" s="35"/>
      <c r="Q98" s="37"/>
      <c r="R98" s="34"/>
      <c r="S98" s="35"/>
      <c r="T98" s="37"/>
      <c r="U98" s="34"/>
      <c r="V98" s="35"/>
      <c r="W98" s="37"/>
      <c r="X98" s="34"/>
      <c r="Y98" s="35"/>
      <c r="Z98" s="37"/>
      <c r="AA98" s="34"/>
      <c r="AB98" s="35"/>
      <c r="AC98" s="37"/>
      <c r="AD98" s="34"/>
      <c r="AE98" s="35"/>
      <c r="AF98" s="37"/>
      <c r="AG98" s="34"/>
      <c r="AH98" s="35"/>
      <c r="AI98" s="37"/>
      <c r="AJ98" s="34"/>
      <c r="AK98" s="35"/>
      <c r="AL98" s="37"/>
      <c r="AM98" s="34"/>
      <c r="AN98" s="35"/>
      <c r="AP98" s="34"/>
      <c r="AQ98" s="35"/>
      <c r="AS98" s="34"/>
      <c r="AT98" s="35"/>
      <c r="AV98" s="34"/>
      <c r="AW98" s="35"/>
      <c r="AY98" s="34"/>
      <c r="AZ98" s="35"/>
      <c r="BB98" s="34"/>
      <c r="BC98" s="35"/>
      <c r="BE98" s="34"/>
      <c r="BF98" s="35"/>
      <c r="BH98" s="34"/>
      <c r="BI98" s="35"/>
      <c r="BK98" s="34">
        <v>0</v>
      </c>
      <c r="BL98" s="35">
        <f>BK98/BK93</f>
        <v>0</v>
      </c>
      <c r="BN98" s="34">
        <v>0</v>
      </c>
      <c r="BO98" s="35">
        <f>BN98/BN93</f>
        <v>0</v>
      </c>
      <c r="BQ98" s="34">
        <v>0</v>
      </c>
      <c r="BR98" s="35">
        <f>BQ98/BQ93</f>
        <v>0</v>
      </c>
      <c r="BT98" s="34">
        <v>0</v>
      </c>
      <c r="BU98" s="35">
        <f>BT98/BT93</f>
        <v>0</v>
      </c>
      <c r="BW98" s="34">
        <v>0</v>
      </c>
      <c r="BX98" s="35">
        <f>BW98/BW93</f>
        <v>0</v>
      </c>
      <c r="BZ98" s="34">
        <v>1</v>
      </c>
      <c r="CA98" s="35">
        <f>BZ98/BZ93</f>
        <v>0.01</v>
      </c>
      <c r="CC98" s="34">
        <v>2</v>
      </c>
      <c r="CD98" s="35">
        <f>CC98/CC93</f>
        <v>2.0202020202020204E-2</v>
      </c>
      <c r="CF98" s="34">
        <v>3</v>
      </c>
      <c r="CG98" s="35">
        <f>CF98/CF93</f>
        <v>2.8571428571428571E-2</v>
      </c>
      <c r="CI98" s="34">
        <v>2</v>
      </c>
      <c r="CJ98" s="35">
        <f>CI98/CI93</f>
        <v>1.9607843137254902E-2</v>
      </c>
      <c r="CL98" s="34">
        <v>2</v>
      </c>
      <c r="CM98" s="35">
        <f t="shared" si="90"/>
        <v>1.9417475728155338E-2</v>
      </c>
      <c r="CO98" s="86">
        <v>2</v>
      </c>
      <c r="CP98" s="35">
        <v>1.9607843137254902E-2</v>
      </c>
      <c r="CR98" s="34">
        <v>1</v>
      </c>
      <c r="CS98" s="35">
        <f t="shared" si="88"/>
        <v>9.8039215686274508E-3</v>
      </c>
      <c r="CU98" s="34">
        <v>1</v>
      </c>
      <c r="CV98" s="35">
        <f t="shared" si="91"/>
        <v>8.5470085470085479E-3</v>
      </c>
      <c r="CX98" s="34">
        <v>0</v>
      </c>
      <c r="CY98" s="35">
        <f t="shared" si="89"/>
        <v>0</v>
      </c>
      <c r="CZ98" s="34"/>
      <c r="DA98" s="34">
        <v>0</v>
      </c>
      <c r="DB98" s="35">
        <f t="shared" si="92"/>
        <v>0</v>
      </c>
      <c r="DC98" s="34"/>
      <c r="DD98" s="34">
        <v>0</v>
      </c>
      <c r="DE98" s="35">
        <f t="shared" si="93"/>
        <v>0</v>
      </c>
      <c r="DF98" s="34"/>
      <c r="DG98" s="34">
        <v>0</v>
      </c>
      <c r="DH98" s="35">
        <f t="shared" si="94"/>
        <v>0</v>
      </c>
    </row>
    <row r="99" spans="1:112" s="27" customFormat="1" ht="10.15" customHeight="1">
      <c r="B99" s="118" t="s">
        <v>34</v>
      </c>
      <c r="C99" s="118"/>
      <c r="D99" s="118"/>
      <c r="E99" s="118"/>
      <c r="F99" s="34"/>
      <c r="G99" s="35"/>
      <c r="H99" s="34"/>
      <c r="I99" s="34"/>
      <c r="J99" s="35"/>
      <c r="K99" s="36"/>
      <c r="L99" s="34"/>
      <c r="M99" s="35"/>
      <c r="N99" s="37"/>
      <c r="O99" s="34"/>
      <c r="P99" s="35"/>
      <c r="Q99" s="37"/>
      <c r="R99" s="34"/>
      <c r="S99" s="35"/>
      <c r="T99" s="37"/>
      <c r="U99" s="34"/>
      <c r="V99" s="35"/>
      <c r="W99" s="37"/>
      <c r="X99" s="34"/>
      <c r="Y99" s="35"/>
      <c r="Z99" s="37"/>
      <c r="AA99" s="34"/>
      <c r="AB99" s="35"/>
      <c r="AC99" s="37"/>
      <c r="AD99" s="34"/>
      <c r="AE99" s="35"/>
      <c r="AF99" s="37"/>
      <c r="AG99" s="34"/>
      <c r="AH99" s="35"/>
      <c r="AI99" s="37"/>
      <c r="AJ99" s="34"/>
      <c r="AK99" s="35"/>
      <c r="AL99" s="37"/>
      <c r="AM99" s="34"/>
      <c r="AN99" s="35"/>
      <c r="AP99" s="34"/>
      <c r="AQ99" s="35"/>
      <c r="AS99" s="34"/>
      <c r="AT99" s="35"/>
      <c r="AV99" s="34"/>
      <c r="AW99" s="35"/>
      <c r="AY99" s="34"/>
      <c r="AZ99" s="35"/>
      <c r="BB99" s="34"/>
      <c r="BC99" s="35"/>
      <c r="BE99" s="34"/>
      <c r="BF99" s="35"/>
      <c r="BH99" s="34"/>
      <c r="BI99" s="35"/>
      <c r="BK99" s="34">
        <v>1</v>
      </c>
      <c r="BL99" s="35">
        <f>BK99/BK93</f>
        <v>1.1111111111111112E-2</v>
      </c>
      <c r="BN99" s="34">
        <v>1</v>
      </c>
      <c r="BO99" s="35">
        <f>BN99/BN93</f>
        <v>1.0869565217391304E-2</v>
      </c>
      <c r="BQ99" s="34">
        <v>1</v>
      </c>
      <c r="BR99" s="35">
        <f>BQ99/BQ93</f>
        <v>1.0526315789473684E-2</v>
      </c>
      <c r="BT99" s="34">
        <v>0</v>
      </c>
      <c r="BU99" s="35">
        <f>BT99/BT93</f>
        <v>0</v>
      </c>
      <c r="BW99" s="34">
        <v>0</v>
      </c>
      <c r="BX99" s="35">
        <f>BW99/BW93</f>
        <v>0</v>
      </c>
      <c r="BZ99" s="34">
        <v>0</v>
      </c>
      <c r="CA99" s="35">
        <f>BZ99/BZ93</f>
        <v>0</v>
      </c>
      <c r="CC99" s="34">
        <v>0</v>
      </c>
      <c r="CD99" s="35">
        <f>CC99/CC93</f>
        <v>0</v>
      </c>
      <c r="CF99" s="34">
        <v>0</v>
      </c>
      <c r="CG99" s="35">
        <f>CF99/CF93</f>
        <v>0</v>
      </c>
      <c r="CI99" s="34">
        <v>0</v>
      </c>
      <c r="CJ99" s="35">
        <f>CI99/CI93</f>
        <v>0</v>
      </c>
      <c r="CL99" s="34">
        <v>1</v>
      </c>
      <c r="CM99" s="35">
        <f t="shared" si="90"/>
        <v>9.7087378640776691E-3</v>
      </c>
      <c r="CO99" s="86">
        <v>1</v>
      </c>
      <c r="CP99" s="35">
        <v>9.8039215686274508E-3</v>
      </c>
      <c r="CR99" s="34">
        <v>1</v>
      </c>
      <c r="CS99" s="35">
        <f t="shared" si="88"/>
        <v>9.8039215686274508E-3</v>
      </c>
      <c r="CU99" s="34">
        <v>4</v>
      </c>
      <c r="CV99" s="35">
        <f t="shared" si="91"/>
        <v>3.4188034188034191E-2</v>
      </c>
      <c r="CX99" s="34">
        <v>5</v>
      </c>
      <c r="CY99" s="35">
        <f t="shared" si="89"/>
        <v>4.2735042735042736E-2</v>
      </c>
      <c r="CZ99" s="34"/>
      <c r="DA99" s="34">
        <v>7</v>
      </c>
      <c r="DB99" s="35">
        <f t="shared" si="92"/>
        <v>5.5555555555555552E-2</v>
      </c>
      <c r="DC99" s="34"/>
      <c r="DD99" s="34">
        <v>5</v>
      </c>
      <c r="DE99" s="35">
        <f t="shared" si="93"/>
        <v>3.968253968253968E-2</v>
      </c>
      <c r="DF99" s="34"/>
      <c r="DG99" s="34">
        <v>3</v>
      </c>
      <c r="DH99" s="35">
        <f t="shared" si="94"/>
        <v>2.3809523809523808E-2</v>
      </c>
    </row>
    <row r="100" spans="1:112" s="27" customFormat="1" ht="10.15" customHeight="1">
      <c r="B100" s="118" t="s">
        <v>71</v>
      </c>
      <c r="C100" s="118"/>
      <c r="D100" s="118"/>
      <c r="E100" s="118"/>
      <c r="F100" s="34"/>
      <c r="G100" s="35"/>
      <c r="H100" s="34"/>
      <c r="I100" s="34"/>
      <c r="J100" s="35"/>
      <c r="K100" s="36"/>
      <c r="L100" s="34"/>
      <c r="M100" s="35"/>
      <c r="N100" s="37"/>
      <c r="O100" s="34"/>
      <c r="P100" s="35"/>
      <c r="Q100" s="37"/>
      <c r="R100" s="34"/>
      <c r="S100" s="35"/>
      <c r="T100" s="37"/>
      <c r="U100" s="34"/>
      <c r="V100" s="35"/>
      <c r="W100" s="37"/>
      <c r="X100" s="34"/>
      <c r="Y100" s="35"/>
      <c r="Z100" s="37"/>
      <c r="AA100" s="34"/>
      <c r="AB100" s="35"/>
      <c r="AC100" s="37"/>
      <c r="AD100" s="34"/>
      <c r="AE100" s="35"/>
      <c r="AF100" s="37"/>
      <c r="AG100" s="34"/>
      <c r="AH100" s="35"/>
      <c r="AI100" s="37"/>
      <c r="AJ100" s="34"/>
      <c r="AK100" s="35"/>
      <c r="AL100" s="37"/>
      <c r="AM100" s="34"/>
      <c r="AN100" s="35"/>
      <c r="AP100" s="34"/>
      <c r="AQ100" s="35"/>
      <c r="AS100" s="34"/>
      <c r="AT100" s="35"/>
      <c r="AV100" s="34"/>
      <c r="AW100" s="35"/>
      <c r="AY100" s="34"/>
      <c r="AZ100" s="35"/>
      <c r="BB100" s="34"/>
      <c r="BC100" s="35"/>
      <c r="BE100" s="34"/>
      <c r="BF100" s="35"/>
      <c r="BH100" s="34"/>
      <c r="BI100" s="35"/>
      <c r="BK100" s="34"/>
      <c r="BL100" s="35"/>
      <c r="BN100" s="34"/>
      <c r="BO100" s="35"/>
      <c r="BQ100" s="34"/>
      <c r="BR100" s="35"/>
      <c r="BT100" s="34"/>
      <c r="BU100" s="35"/>
      <c r="BW100" s="34"/>
      <c r="BX100" s="35"/>
      <c r="BZ100" s="34"/>
      <c r="CA100" s="35"/>
      <c r="CC100" s="34"/>
      <c r="CD100" s="35"/>
      <c r="CF100" s="106" t="s">
        <v>59</v>
      </c>
      <c r="CG100" s="106" t="s">
        <v>61</v>
      </c>
      <c r="CI100" s="106" t="s">
        <v>59</v>
      </c>
      <c r="CJ100" s="106" t="s">
        <v>62</v>
      </c>
      <c r="CL100" s="106" t="s">
        <v>59</v>
      </c>
      <c r="CM100" s="106" t="s">
        <v>63</v>
      </c>
      <c r="CO100" s="86">
        <v>0</v>
      </c>
      <c r="CP100" s="91">
        <v>0</v>
      </c>
      <c r="CR100" s="34">
        <v>0</v>
      </c>
      <c r="CS100" s="35">
        <f t="shared" si="88"/>
        <v>0</v>
      </c>
      <c r="CU100" s="34">
        <v>0</v>
      </c>
      <c r="CV100" s="35">
        <f t="shared" si="91"/>
        <v>0</v>
      </c>
      <c r="CX100" s="34">
        <v>0</v>
      </c>
      <c r="CY100" s="35">
        <f t="shared" si="89"/>
        <v>0</v>
      </c>
      <c r="CZ100" s="34"/>
      <c r="DA100" s="34">
        <v>1</v>
      </c>
      <c r="DB100" s="35">
        <f t="shared" si="92"/>
        <v>7.9365079365079361E-3</v>
      </c>
      <c r="DC100" s="34"/>
      <c r="DD100" s="34">
        <v>1</v>
      </c>
      <c r="DE100" s="35">
        <f t="shared" si="93"/>
        <v>7.9365079365079361E-3</v>
      </c>
      <c r="DF100" s="34"/>
      <c r="DG100" s="34">
        <v>1</v>
      </c>
      <c r="DH100" s="35">
        <f t="shared" si="94"/>
        <v>7.9365079365079361E-3</v>
      </c>
    </row>
    <row r="101" spans="1:112" s="27" customFormat="1" ht="10.15" customHeight="1">
      <c r="C101" s="119" t="s">
        <v>68</v>
      </c>
      <c r="D101" s="119"/>
      <c r="E101" s="119"/>
      <c r="F101" s="34"/>
      <c r="G101" s="35"/>
      <c r="H101" s="34"/>
      <c r="I101" s="34"/>
      <c r="J101" s="35"/>
      <c r="K101" s="36"/>
      <c r="L101" s="34"/>
      <c r="M101" s="35"/>
      <c r="N101" s="37"/>
      <c r="O101" s="34"/>
      <c r="P101" s="35"/>
      <c r="Q101" s="37"/>
      <c r="R101" s="34"/>
      <c r="S101" s="35"/>
      <c r="T101" s="37"/>
      <c r="U101" s="34">
        <f>SUM(U94:U97)</f>
        <v>7</v>
      </c>
      <c r="V101" s="35">
        <f>(U101/U93)</f>
        <v>0.15217391304347827</v>
      </c>
      <c r="W101" s="37"/>
      <c r="X101" s="34">
        <f>SUM(X94:X97)</f>
        <v>9</v>
      </c>
      <c r="Y101" s="35">
        <f>(X101/X93)</f>
        <v>0.19565217391304349</v>
      </c>
      <c r="Z101" s="37"/>
      <c r="AA101" s="34">
        <f>SUM(AA94:AA97)</f>
        <v>9</v>
      </c>
      <c r="AB101" s="35">
        <f>(AA101/AA93)</f>
        <v>0.16363636363636364</v>
      </c>
      <c r="AC101" s="37"/>
      <c r="AD101" s="34">
        <f>SUM(AD94:AD97)</f>
        <v>6</v>
      </c>
      <c r="AE101" s="35">
        <f>(AD101/AD93)</f>
        <v>0.10344827586206896</v>
      </c>
      <c r="AF101" s="37"/>
      <c r="AG101" s="34">
        <f>SUM(AG94:AG97)</f>
        <v>8</v>
      </c>
      <c r="AH101" s="35">
        <f>(AG101/AG93)</f>
        <v>0.12121212121212122</v>
      </c>
      <c r="AI101" s="37"/>
      <c r="AJ101" s="34">
        <f>SUM(AJ94:AJ97)</f>
        <v>7</v>
      </c>
      <c r="AK101" s="35">
        <f>(AJ101/AJ93)</f>
        <v>0.12962962962962962</v>
      </c>
      <c r="AL101" s="37"/>
      <c r="AM101" s="34">
        <f>SUM(AM94:AM97)</f>
        <v>6</v>
      </c>
      <c r="AN101" s="35">
        <f>(AM101/AM93)</f>
        <v>0.11320754716981132</v>
      </c>
      <c r="AP101" s="34">
        <f>SUM(AP94:AP97)</f>
        <v>7</v>
      </c>
      <c r="AQ101" s="35">
        <f>(AP101/AP93)</f>
        <v>0.1206896551724138</v>
      </c>
      <c r="AS101" s="34">
        <f>SUM(AS94:AS97)</f>
        <v>10</v>
      </c>
      <c r="AT101" s="35">
        <f>(AS101/AS93)</f>
        <v>0.12987012987012986</v>
      </c>
      <c r="AV101" s="34">
        <f>SUM(AV94:AV97)</f>
        <v>10</v>
      </c>
      <c r="AW101" s="35">
        <f>(AV101/AV93)</f>
        <v>0.10204081632653061</v>
      </c>
      <c r="AY101" s="34">
        <f>SUM(AY94:AY97)</f>
        <v>11</v>
      </c>
      <c r="AZ101" s="35">
        <f>(AY101/AY93)</f>
        <v>0.125</v>
      </c>
      <c r="BB101" s="34">
        <f>SUM(BB94:BB97)</f>
        <v>12</v>
      </c>
      <c r="BC101" s="35">
        <f>(BB101/BB93)</f>
        <v>0.12631578947368421</v>
      </c>
      <c r="BE101" s="34">
        <f>SUM(BE94:BE97)</f>
        <v>15</v>
      </c>
      <c r="BF101" s="35">
        <f>(BE101/BE93)</f>
        <v>0.15625</v>
      </c>
      <c r="BH101" s="34">
        <f>SUM(BH94:BH97)</f>
        <v>14</v>
      </c>
      <c r="BI101" s="35">
        <f>(BH101/BH93)</f>
        <v>0.14432989690721648</v>
      </c>
      <c r="BK101" s="34">
        <f>SUM(BK94:BK99)</f>
        <v>12</v>
      </c>
      <c r="BL101" s="35">
        <f>(BK101/BK93)</f>
        <v>0.13333333333333333</v>
      </c>
      <c r="BN101" s="34">
        <f>SUM(BN94:BN99)</f>
        <v>12</v>
      </c>
      <c r="BO101" s="35">
        <f>(BN101/BN93)</f>
        <v>0.13043478260869565</v>
      </c>
      <c r="BQ101" s="34">
        <f>SUM(BQ94:BQ99)</f>
        <v>13</v>
      </c>
      <c r="BR101" s="35">
        <f>(BQ101/BQ93)</f>
        <v>0.1368421052631579</v>
      </c>
      <c r="BT101" s="34">
        <f>SUM(BT94:BT99)</f>
        <v>11</v>
      </c>
      <c r="BU101" s="35">
        <f>(BT101/BT93)</f>
        <v>0.11578947368421053</v>
      </c>
      <c r="BW101" s="34">
        <f>SUM(BW94:BW99)</f>
        <v>11</v>
      </c>
      <c r="BX101" s="35">
        <f>(BW101/BW93)</f>
        <v>0.11224489795918367</v>
      </c>
      <c r="BZ101" s="34">
        <f>SUM(BZ94:BZ99)</f>
        <v>13</v>
      </c>
      <c r="CA101" s="35">
        <f>(BZ101/BZ93)</f>
        <v>0.13</v>
      </c>
      <c r="CC101" s="34">
        <f>SUM(CC94:CC99)</f>
        <v>15</v>
      </c>
      <c r="CD101" s="35">
        <f>(CC101/CC93)</f>
        <v>0.15151515151515152</v>
      </c>
      <c r="CF101" s="34">
        <f>SUM(CF94:CF99)</f>
        <v>20</v>
      </c>
      <c r="CG101" s="35">
        <f>(CF101/CF93)</f>
        <v>0.19047619047619047</v>
      </c>
      <c r="CI101" s="34">
        <f>SUM(CI94:CI99)</f>
        <v>16</v>
      </c>
      <c r="CJ101" s="35">
        <f>CI101/CI93</f>
        <v>0.15686274509803921</v>
      </c>
      <c r="CL101" s="34">
        <f>SUM(CL94:CL99)</f>
        <v>19</v>
      </c>
      <c r="CM101" s="35">
        <f t="shared" si="90"/>
        <v>0.18446601941747573</v>
      </c>
      <c r="CO101" s="86">
        <v>17</v>
      </c>
      <c r="CP101" s="35">
        <v>0.16666666666666666</v>
      </c>
      <c r="CR101" s="34">
        <f>SUM(CR94:CR100)</f>
        <v>14</v>
      </c>
      <c r="CS101" s="35">
        <f t="shared" si="88"/>
        <v>0.13725490196078433</v>
      </c>
      <c r="CU101" s="34">
        <f>SUM(CU94:CU100)</f>
        <v>21</v>
      </c>
      <c r="CV101" s="35">
        <f t="shared" si="91"/>
        <v>0.17948717948717949</v>
      </c>
      <c r="CX101" s="34">
        <f>SUM(CX94:CX100)</f>
        <v>22</v>
      </c>
      <c r="CY101" s="35">
        <f t="shared" si="89"/>
        <v>0.18803418803418803</v>
      </c>
      <c r="CZ101" s="34"/>
      <c r="DA101" s="34">
        <f>SUM(DA94:DA100)</f>
        <v>28</v>
      </c>
      <c r="DB101" s="35">
        <f t="shared" si="92"/>
        <v>0.22222222222222221</v>
      </c>
      <c r="DC101" s="34"/>
      <c r="DD101" s="34">
        <f>SUM(DD94:DD100)</f>
        <v>26</v>
      </c>
      <c r="DE101" s="35">
        <f t="shared" si="93"/>
        <v>0.20634920634920634</v>
      </c>
      <c r="DF101" s="34"/>
      <c r="DG101" s="34">
        <f>SUM(DG94:DG100)</f>
        <v>25</v>
      </c>
      <c r="DH101" s="35">
        <f t="shared" si="94"/>
        <v>0.1984126984126984</v>
      </c>
    </row>
    <row r="102" spans="1:112" s="27" customFormat="1" ht="10.15" customHeight="1">
      <c r="B102" s="90" t="s">
        <v>38</v>
      </c>
      <c r="C102" s="90"/>
      <c r="D102" s="90"/>
      <c r="E102" s="90"/>
      <c r="F102" s="34"/>
      <c r="G102" s="35"/>
      <c r="H102" s="34"/>
      <c r="I102" s="34"/>
      <c r="J102" s="35"/>
      <c r="K102" s="36"/>
      <c r="L102" s="34"/>
      <c r="M102" s="35"/>
      <c r="N102" s="37"/>
      <c r="O102" s="34"/>
      <c r="P102" s="35"/>
      <c r="Q102" s="37"/>
      <c r="R102" s="34"/>
      <c r="S102" s="35"/>
      <c r="T102" s="37"/>
      <c r="U102" s="34">
        <v>39</v>
      </c>
      <c r="V102" s="35">
        <f>(U102/U93)</f>
        <v>0.84782608695652173</v>
      </c>
      <c r="W102" s="37"/>
      <c r="X102" s="34">
        <v>37</v>
      </c>
      <c r="Y102" s="35">
        <f>(X102/X93)</f>
        <v>0.80434782608695654</v>
      </c>
      <c r="Z102" s="37"/>
      <c r="AA102" s="34">
        <v>46</v>
      </c>
      <c r="AB102" s="35">
        <f>(AA102/AA93)</f>
        <v>0.83636363636363631</v>
      </c>
      <c r="AC102" s="37"/>
      <c r="AD102" s="34">
        <v>52</v>
      </c>
      <c r="AE102" s="35">
        <f>(AD102/AD93)</f>
        <v>0.89655172413793105</v>
      </c>
      <c r="AF102" s="37"/>
      <c r="AG102" s="34">
        <v>58</v>
      </c>
      <c r="AH102" s="35">
        <f>(AG102/AG93)</f>
        <v>0.87878787878787878</v>
      </c>
      <c r="AI102" s="37"/>
      <c r="AJ102" s="34">
        <v>47</v>
      </c>
      <c r="AK102" s="35">
        <f>(AJ102/AJ93)</f>
        <v>0.87037037037037035</v>
      </c>
      <c r="AL102" s="37"/>
      <c r="AM102" s="34">
        <v>47</v>
      </c>
      <c r="AN102" s="35">
        <f>(AM102/AM93)</f>
        <v>0.8867924528301887</v>
      </c>
      <c r="AP102" s="34">
        <v>51</v>
      </c>
      <c r="AQ102" s="35">
        <f>(AP102/AP93)</f>
        <v>0.87931034482758619</v>
      </c>
      <c r="AS102" s="34">
        <v>67</v>
      </c>
      <c r="AT102" s="35">
        <f>(AS102/AS93)</f>
        <v>0.87012987012987009</v>
      </c>
      <c r="AV102" s="34">
        <v>88</v>
      </c>
      <c r="AW102" s="35">
        <f>(AV102/AV93)</f>
        <v>0.89795918367346939</v>
      </c>
      <c r="AY102" s="34">
        <f>2+67+2+6</f>
        <v>77</v>
      </c>
      <c r="AZ102" s="35">
        <f>(AY102/AY93)</f>
        <v>0.875</v>
      </c>
      <c r="BB102" s="34">
        <v>83</v>
      </c>
      <c r="BC102" s="35">
        <f>(BB102/BB93)</f>
        <v>0.87368421052631584</v>
      </c>
      <c r="BE102" s="34">
        <v>81</v>
      </c>
      <c r="BF102" s="35">
        <f>(BE102/BE93)</f>
        <v>0.84375</v>
      </c>
      <c r="BH102" s="34">
        <v>83</v>
      </c>
      <c r="BI102" s="35">
        <f>(BH102/BH93)</f>
        <v>0.85567010309278346</v>
      </c>
      <c r="BK102" s="34">
        <v>78</v>
      </c>
      <c r="BL102" s="35">
        <f>(BK102/BK93)</f>
        <v>0.8666666666666667</v>
      </c>
      <c r="BN102" s="34">
        <v>80</v>
      </c>
      <c r="BO102" s="35">
        <f>(BN102/BN93)</f>
        <v>0.86956521739130432</v>
      </c>
      <c r="BQ102" s="34">
        <v>82</v>
      </c>
      <c r="BR102" s="35">
        <f>(BQ102/BQ93)</f>
        <v>0.86315789473684212</v>
      </c>
      <c r="BT102" s="34">
        <v>84</v>
      </c>
      <c r="BU102" s="35">
        <f>(BT102/BT93)</f>
        <v>0.88421052631578945</v>
      </c>
      <c r="BW102" s="34">
        <v>87</v>
      </c>
      <c r="BX102" s="35">
        <f>(BW102/BW93)</f>
        <v>0.88775510204081631</v>
      </c>
      <c r="BZ102" s="34">
        <v>87</v>
      </c>
      <c r="CA102" s="35">
        <f>(BZ102/BZ93)</f>
        <v>0.87</v>
      </c>
      <c r="CC102" s="34">
        <v>84</v>
      </c>
      <c r="CD102" s="35">
        <f>(CC102/CC93)</f>
        <v>0.84848484848484851</v>
      </c>
      <c r="CF102" s="34">
        <v>85</v>
      </c>
      <c r="CG102" s="35">
        <f>(CF102/CF93)</f>
        <v>0.80952380952380953</v>
      </c>
      <c r="CI102" s="34">
        <v>86</v>
      </c>
      <c r="CJ102" s="35">
        <f>CI102/CI93</f>
        <v>0.84313725490196079</v>
      </c>
      <c r="CL102" s="34">
        <v>84</v>
      </c>
      <c r="CM102" s="35">
        <f t="shared" si="90"/>
        <v>0.81553398058252424</v>
      </c>
      <c r="CO102" s="86">
        <v>82</v>
      </c>
      <c r="CP102" s="35">
        <v>0.80392156862745101</v>
      </c>
      <c r="CR102" s="34">
        <v>87</v>
      </c>
      <c r="CS102" s="35">
        <f t="shared" si="88"/>
        <v>0.8529411764705882</v>
      </c>
      <c r="CU102" s="34">
        <v>93</v>
      </c>
      <c r="CV102" s="35">
        <f t="shared" si="91"/>
        <v>0.79487179487179482</v>
      </c>
      <c r="CX102" s="34">
        <v>95</v>
      </c>
      <c r="CY102" s="35">
        <f t="shared" si="89"/>
        <v>0.81196581196581197</v>
      </c>
      <c r="CZ102" s="34"/>
      <c r="DA102" s="34">
        <v>98</v>
      </c>
      <c r="DB102" s="35">
        <f t="shared" si="92"/>
        <v>0.77777777777777779</v>
      </c>
      <c r="DC102" s="34"/>
      <c r="DD102" s="34">
        <v>99</v>
      </c>
      <c r="DE102" s="35">
        <f t="shared" si="93"/>
        <v>0.7857142857142857</v>
      </c>
      <c r="DF102" s="34"/>
      <c r="DG102" s="34">
        <v>103</v>
      </c>
      <c r="DH102" s="35">
        <f t="shared" si="94"/>
        <v>0.81746031746031744</v>
      </c>
    </row>
    <row r="103" spans="1:112" s="33" customFormat="1" ht="10.15" customHeight="1">
      <c r="B103" s="129" t="s">
        <v>58</v>
      </c>
      <c r="C103" s="129"/>
      <c r="D103" s="129"/>
      <c r="E103" s="129"/>
      <c r="F103" s="41"/>
      <c r="G103" s="38"/>
      <c r="H103" s="41"/>
      <c r="I103" s="41"/>
      <c r="J103" s="38"/>
      <c r="K103" s="39"/>
      <c r="L103" s="41"/>
      <c r="M103" s="38"/>
      <c r="N103" s="40"/>
      <c r="O103" s="41"/>
      <c r="P103" s="38"/>
      <c r="Q103" s="40"/>
      <c r="R103" s="41"/>
      <c r="S103" s="38"/>
      <c r="T103" s="40"/>
      <c r="U103" s="41"/>
      <c r="V103" s="38"/>
      <c r="W103" s="40"/>
      <c r="X103" s="41"/>
      <c r="Y103" s="38"/>
      <c r="Z103" s="40"/>
      <c r="AA103" s="41"/>
      <c r="AB103" s="38"/>
      <c r="AC103" s="40"/>
      <c r="AD103" s="41"/>
      <c r="AE103" s="38"/>
      <c r="AF103" s="40"/>
      <c r="AG103" s="41"/>
      <c r="AH103" s="38"/>
      <c r="AI103" s="40"/>
      <c r="AJ103" s="41"/>
      <c r="AK103" s="38"/>
      <c r="AL103" s="40"/>
      <c r="AM103" s="41"/>
      <c r="AN103" s="38"/>
      <c r="AP103" s="41"/>
      <c r="AQ103" s="38"/>
      <c r="AS103" s="41"/>
      <c r="AT103" s="38"/>
      <c r="AV103" s="41"/>
      <c r="AW103" s="38"/>
      <c r="AY103" s="41"/>
      <c r="AZ103" s="38"/>
      <c r="BB103" s="41"/>
      <c r="BC103" s="38"/>
      <c r="BE103" s="41"/>
      <c r="BF103" s="38"/>
      <c r="BH103" s="41"/>
      <c r="BI103" s="38"/>
      <c r="BK103" s="41"/>
      <c r="BL103" s="38"/>
      <c r="BN103" s="41"/>
      <c r="BO103" s="38"/>
      <c r="BQ103" s="41"/>
      <c r="BR103" s="38"/>
      <c r="BT103" s="41"/>
      <c r="BU103" s="38"/>
      <c r="BW103" s="41"/>
      <c r="BX103" s="38"/>
      <c r="BZ103" s="41"/>
      <c r="CA103" s="38"/>
      <c r="CC103" s="91" t="s">
        <v>59</v>
      </c>
      <c r="CD103" s="91" t="s">
        <v>60</v>
      </c>
      <c r="CF103" s="91" t="s">
        <v>59</v>
      </c>
      <c r="CG103" s="91" t="s">
        <v>61</v>
      </c>
      <c r="CI103" s="91" t="s">
        <v>59</v>
      </c>
      <c r="CJ103" s="91" t="s">
        <v>62</v>
      </c>
      <c r="CL103" s="91" t="s">
        <v>59</v>
      </c>
      <c r="CM103" s="91" t="s">
        <v>63</v>
      </c>
      <c r="CO103" s="87">
        <v>3</v>
      </c>
      <c r="CP103" s="38">
        <v>2.9411764705882353E-2</v>
      </c>
      <c r="CR103" s="41">
        <v>1</v>
      </c>
      <c r="CS103" s="38">
        <f t="shared" si="88"/>
        <v>9.8039215686274508E-3</v>
      </c>
      <c r="CU103" s="41">
        <v>0</v>
      </c>
      <c r="CV103" s="38">
        <f t="shared" si="91"/>
        <v>0</v>
      </c>
      <c r="CX103" s="41">
        <v>0</v>
      </c>
      <c r="CY103" s="38">
        <f t="shared" si="89"/>
        <v>0</v>
      </c>
      <c r="CZ103" s="41"/>
      <c r="DA103" s="41">
        <v>0</v>
      </c>
      <c r="DB103" s="35">
        <f t="shared" si="92"/>
        <v>0</v>
      </c>
      <c r="DC103" s="41"/>
      <c r="DD103" s="41">
        <v>0</v>
      </c>
      <c r="DE103" s="35">
        <f t="shared" si="93"/>
        <v>0</v>
      </c>
      <c r="DF103" s="41"/>
      <c r="DG103" s="41">
        <v>0</v>
      </c>
      <c r="DH103" s="35">
        <f t="shared" si="94"/>
        <v>0</v>
      </c>
    </row>
    <row r="104" spans="1:112" s="44" customFormat="1" ht="15" customHeight="1">
      <c r="A104" s="121" t="s">
        <v>5</v>
      </c>
      <c r="B104" s="121"/>
      <c r="C104" s="121"/>
      <c r="D104" s="121"/>
      <c r="E104" s="121"/>
      <c r="F104" s="51">
        <f>SUM(F112:F113)</f>
        <v>2407</v>
      </c>
      <c r="G104" s="52"/>
      <c r="H104" s="51"/>
      <c r="I104" s="51">
        <f>SUM(I112:I113)</f>
        <v>2236</v>
      </c>
      <c r="J104" s="52"/>
      <c r="K104" s="53"/>
      <c r="L104" s="51">
        <f>SUM(L112:L113)</f>
        <v>2183</v>
      </c>
      <c r="M104" s="52"/>
      <c r="N104" s="54"/>
      <c r="O104" s="51">
        <f>SUM(O112:O113)</f>
        <v>2204</v>
      </c>
      <c r="P104" s="52"/>
      <c r="Q104" s="54"/>
      <c r="R104" s="51">
        <f>SUM(R112:R113)</f>
        <v>2275</v>
      </c>
      <c r="S104" s="52"/>
      <c r="T104" s="54"/>
      <c r="U104" s="51">
        <f>SUM(U112:U113)</f>
        <v>2245</v>
      </c>
      <c r="V104" s="52"/>
      <c r="W104" s="54"/>
      <c r="X104" s="51">
        <f>SUM(X112:X113)</f>
        <v>2220</v>
      </c>
      <c r="Y104" s="52"/>
      <c r="Z104" s="54"/>
      <c r="AA104" s="51">
        <f>SUM(AA112:AA113)</f>
        <v>2155</v>
      </c>
      <c r="AB104" s="52"/>
      <c r="AC104" s="54"/>
      <c r="AD104" s="51">
        <f>SUM(AD112:AD113)</f>
        <v>2145</v>
      </c>
      <c r="AE104" s="52"/>
      <c r="AF104" s="54"/>
      <c r="AG104" s="51">
        <f>SUM(AG112:AG113)</f>
        <v>2151</v>
      </c>
      <c r="AH104" s="52"/>
      <c r="AI104" s="54"/>
      <c r="AJ104" s="51">
        <f>SUM(AJ112:AJ113)</f>
        <v>2123</v>
      </c>
      <c r="AK104" s="52"/>
      <c r="AL104" s="54"/>
      <c r="AM104" s="51">
        <f>SUM(AM112:AM113)</f>
        <v>2056</v>
      </c>
      <c r="AN104" s="52"/>
      <c r="AO104" s="55"/>
      <c r="AP104" s="51">
        <f>SUM(AP112:AP113)</f>
        <v>1912</v>
      </c>
      <c r="AQ104" s="52"/>
      <c r="AR104" s="55"/>
      <c r="AS104" s="51">
        <f>SUM(AS112:AS113)</f>
        <v>1977</v>
      </c>
      <c r="AT104" s="52"/>
      <c r="AU104" s="55"/>
      <c r="AV104" s="51">
        <f>SUM(AV112:AV113)</f>
        <v>1885</v>
      </c>
      <c r="AW104" s="52"/>
      <c r="AX104" s="55"/>
      <c r="AY104" s="51">
        <f>SUM(AY112:AY113)</f>
        <v>1822</v>
      </c>
      <c r="AZ104" s="52"/>
      <c r="BA104" s="55"/>
      <c r="BB104" s="51">
        <f>SUM(BB112:BB113)</f>
        <v>1784</v>
      </c>
      <c r="BC104" s="52"/>
      <c r="BD104" s="55"/>
      <c r="BE104" s="51">
        <f>SUM(BE112:BE113)</f>
        <v>1768</v>
      </c>
      <c r="BF104" s="52"/>
      <c r="BG104" s="55"/>
      <c r="BH104" s="51">
        <f>SUM(BH112:BH113)</f>
        <v>1742</v>
      </c>
      <c r="BI104" s="52"/>
      <c r="BJ104" s="55"/>
      <c r="BK104" s="51">
        <f>SUM(BK112:BK113)</f>
        <v>1673</v>
      </c>
      <c r="BL104" s="52"/>
      <c r="BM104" s="55"/>
      <c r="BN104" s="51">
        <f>SUM(BN112:BN113)</f>
        <v>1513</v>
      </c>
      <c r="BO104" s="52"/>
      <c r="BP104" s="55"/>
      <c r="BQ104" s="51">
        <f>SUM(BQ112:BQ113)</f>
        <v>1470</v>
      </c>
      <c r="BR104" s="52"/>
      <c r="BS104" s="55"/>
      <c r="BT104" s="51">
        <f>SUM(BT112:BT113)</f>
        <v>1458</v>
      </c>
      <c r="BU104" s="52"/>
      <c r="BV104" s="55"/>
      <c r="BW104" s="61">
        <f>SUM(BW112:BW113)</f>
        <v>1445</v>
      </c>
      <c r="BX104" s="62"/>
      <c r="BY104" s="60"/>
      <c r="BZ104" s="61">
        <f>SUM(BZ112:BZ113)</f>
        <v>1431</v>
      </c>
      <c r="CA104" s="62"/>
      <c r="CB104" s="60"/>
      <c r="CC104" s="61">
        <f>SUM(CC112:CC113)</f>
        <v>1406</v>
      </c>
      <c r="CD104" s="62"/>
      <c r="CE104" s="60"/>
      <c r="CF104" s="61">
        <f>SUM(CF112:CF113)</f>
        <v>1377</v>
      </c>
      <c r="CG104" s="62"/>
      <c r="CH104" s="60"/>
      <c r="CI104" s="61">
        <f>SUM(CI113,CI105:CI110)</f>
        <v>1334</v>
      </c>
      <c r="CJ104" s="52"/>
      <c r="CK104" s="60"/>
      <c r="CL104" s="61">
        <f>CL113+CL110+CL109+CL108+CL107+CL106+CL105</f>
        <v>1319</v>
      </c>
      <c r="CM104" s="52"/>
      <c r="CN104" s="60"/>
      <c r="CO104" s="82">
        <f>CO112+CO113+CO114</f>
        <v>1325</v>
      </c>
      <c r="CP104" s="52"/>
      <c r="CQ104" s="60"/>
      <c r="CR104" s="61">
        <f>CR112+CR113+CR114</f>
        <v>1338</v>
      </c>
      <c r="CS104" s="52"/>
      <c r="CT104" s="60"/>
      <c r="CU104" s="61">
        <f>CU112+CU113+CU114</f>
        <v>1149</v>
      </c>
      <c r="CV104" s="52"/>
      <c r="CW104" s="60"/>
      <c r="CX104" s="61">
        <f>CX112+CX113+CX114</f>
        <v>1154</v>
      </c>
      <c r="CY104" s="52"/>
      <c r="CZ104" s="61"/>
      <c r="DA104" s="61">
        <f>DA112+DA113+DA114</f>
        <v>1169</v>
      </c>
      <c r="DB104" s="52"/>
      <c r="DC104" s="61"/>
      <c r="DD104" s="61">
        <f>DD112+DD113+DD114</f>
        <v>1137</v>
      </c>
      <c r="DE104" s="52"/>
      <c r="DF104" s="61"/>
      <c r="DG104" s="61">
        <f>DG112+DG113+DG114</f>
        <v>1118</v>
      </c>
      <c r="DH104" s="52"/>
    </row>
    <row r="105" spans="1:112" s="27" customFormat="1" ht="10.15" customHeight="1">
      <c r="A105" s="22"/>
      <c r="B105" s="116" t="s">
        <v>55</v>
      </c>
      <c r="C105" s="116"/>
      <c r="D105" s="116"/>
      <c r="E105" s="116"/>
      <c r="F105" s="23">
        <v>20</v>
      </c>
      <c r="G105" s="24">
        <f>(F105/F104)</f>
        <v>8.309098462816784E-3</v>
      </c>
      <c r="H105" s="23"/>
      <c r="I105" s="23">
        <v>21</v>
      </c>
      <c r="J105" s="24">
        <f>(I105/I104)</f>
        <v>9.3917710196779972E-3</v>
      </c>
      <c r="K105" s="25"/>
      <c r="L105" s="23">
        <v>21</v>
      </c>
      <c r="M105" s="24">
        <f>(L105/L104)</f>
        <v>9.6197892808062308E-3</v>
      </c>
      <c r="N105" s="26"/>
      <c r="O105" s="23">
        <v>27</v>
      </c>
      <c r="P105" s="24">
        <f>(O105/O104)</f>
        <v>1.2250453720508167E-2</v>
      </c>
      <c r="Q105" s="26"/>
      <c r="R105" s="23">
        <v>26</v>
      </c>
      <c r="S105" s="24">
        <f>(R105/R104)</f>
        <v>1.1428571428571429E-2</v>
      </c>
      <c r="T105" s="26"/>
      <c r="U105" s="23">
        <v>18</v>
      </c>
      <c r="V105" s="24">
        <f>(U105/U104)</f>
        <v>8.0178173719376387E-3</v>
      </c>
      <c r="W105" s="26"/>
      <c r="X105" s="23">
        <v>16</v>
      </c>
      <c r="Y105" s="24">
        <f>(X105/X104)</f>
        <v>7.2072072072072073E-3</v>
      </c>
      <c r="Z105" s="26"/>
      <c r="AA105" s="23">
        <v>16</v>
      </c>
      <c r="AB105" s="24">
        <f>(AA105/AA104)</f>
        <v>7.4245939675174014E-3</v>
      </c>
      <c r="AC105" s="26"/>
      <c r="AD105" s="23">
        <v>18</v>
      </c>
      <c r="AE105" s="24">
        <f>(AD105/AD104)</f>
        <v>8.3916083916083916E-3</v>
      </c>
      <c r="AF105" s="26"/>
      <c r="AG105" s="23">
        <v>20</v>
      </c>
      <c r="AH105" s="24">
        <f>(AG105/AG104)</f>
        <v>9.2980009298000935E-3</v>
      </c>
      <c r="AI105" s="26"/>
      <c r="AJ105" s="23">
        <v>25</v>
      </c>
      <c r="AK105" s="24">
        <f>(AJ105/AJ104)</f>
        <v>1.1775788977861516E-2</v>
      </c>
      <c r="AL105" s="26"/>
      <c r="AM105" s="23">
        <v>21</v>
      </c>
      <c r="AN105" s="24">
        <f>(AM105/AM104)</f>
        <v>1.0214007782101167E-2</v>
      </c>
      <c r="AO105" s="22"/>
      <c r="AP105" s="23">
        <v>22</v>
      </c>
      <c r="AQ105" s="24">
        <f>(AP105/AP104)</f>
        <v>1.1506276150627616E-2</v>
      </c>
      <c r="AR105" s="22"/>
      <c r="AS105" s="23">
        <v>21</v>
      </c>
      <c r="AT105" s="24">
        <f>(AS105/AS104)</f>
        <v>1.0622154779969651E-2</v>
      </c>
      <c r="AU105" s="22"/>
      <c r="AV105" s="23">
        <v>18</v>
      </c>
      <c r="AW105" s="24">
        <f>(AV105/AV104)</f>
        <v>9.5490716180371346E-3</v>
      </c>
      <c r="AX105" s="22"/>
      <c r="AY105" s="23">
        <v>18</v>
      </c>
      <c r="AZ105" s="24">
        <f>(AY105/AY104)</f>
        <v>9.8792535675082324E-3</v>
      </c>
      <c r="BA105" s="22"/>
      <c r="BB105" s="23">
        <v>14</v>
      </c>
      <c r="BC105" s="24">
        <f>(BB105/BB104)</f>
        <v>7.8475336322869956E-3</v>
      </c>
      <c r="BD105" s="22"/>
      <c r="BE105" s="23">
        <v>18</v>
      </c>
      <c r="BF105" s="24">
        <f>(BE105/BE104)</f>
        <v>1.0180995475113122E-2</v>
      </c>
      <c r="BG105" s="22"/>
      <c r="BH105" s="23">
        <v>19</v>
      </c>
      <c r="BI105" s="24">
        <f>(BH105/BH104)</f>
        <v>1.0907003444316877E-2</v>
      </c>
      <c r="BJ105" s="22"/>
      <c r="BK105" s="23">
        <v>16</v>
      </c>
      <c r="BL105" s="24">
        <f>(BK105/BK104)</f>
        <v>9.563658099222952E-3</v>
      </c>
      <c r="BM105" s="22"/>
      <c r="BN105" s="23">
        <v>18</v>
      </c>
      <c r="BO105" s="24">
        <f>(BN105/BN104)</f>
        <v>1.1896893588896233E-2</v>
      </c>
      <c r="BP105" s="22"/>
      <c r="BQ105" s="23">
        <v>20</v>
      </c>
      <c r="BR105" s="24">
        <f>(BQ105/BQ104)</f>
        <v>1.3605442176870748E-2</v>
      </c>
      <c r="BS105" s="22"/>
      <c r="BT105" s="23">
        <v>20</v>
      </c>
      <c r="BU105" s="24">
        <f>(BT105/BT104)</f>
        <v>1.3717421124828532E-2</v>
      </c>
      <c r="BV105" s="22"/>
      <c r="BW105" s="23">
        <v>23</v>
      </c>
      <c r="BX105" s="24">
        <f>(BW105/BW104)</f>
        <v>1.5916955017301039E-2</v>
      </c>
      <c r="BY105" s="22"/>
      <c r="BZ105" s="23">
        <v>24</v>
      </c>
      <c r="CA105" s="24">
        <f>(BZ105/BZ104)</f>
        <v>1.6771488469601678E-2</v>
      </c>
      <c r="CB105" s="22"/>
      <c r="CC105" s="23">
        <v>22</v>
      </c>
      <c r="CD105" s="24">
        <f>(CC105/CC104)</f>
        <v>1.5647226173541962E-2</v>
      </c>
      <c r="CE105" s="22"/>
      <c r="CF105" s="23">
        <v>21</v>
      </c>
      <c r="CG105" s="24">
        <f>(CF105/CF104)</f>
        <v>1.5250544662309368E-2</v>
      </c>
      <c r="CH105" s="22"/>
      <c r="CI105" s="23">
        <v>26</v>
      </c>
      <c r="CJ105" s="24">
        <f>CI105/CI104</f>
        <v>1.9490254872563718E-2</v>
      </c>
      <c r="CK105" s="22"/>
      <c r="CL105" s="23">
        <v>28</v>
      </c>
      <c r="CM105" s="24">
        <f>CL105/1319</f>
        <v>2.1228203184230479E-2</v>
      </c>
      <c r="CN105" s="22"/>
      <c r="CO105" s="83">
        <v>26</v>
      </c>
      <c r="CP105" s="24">
        <f t="shared" ref="CP105:CP114" si="95">CO105/1325</f>
        <v>1.9622641509433963E-2</v>
      </c>
      <c r="CQ105" s="22"/>
      <c r="CR105" s="23">
        <v>23</v>
      </c>
      <c r="CS105" s="24">
        <f t="shared" ref="CS105:CS114" si="96">CR105/$CR$104</f>
        <v>1.7189835575485798E-2</v>
      </c>
      <c r="CT105" s="22"/>
      <c r="CU105" s="23">
        <v>20</v>
      </c>
      <c r="CV105" s="24">
        <f>CU105/$CX$104</f>
        <v>1.7331022530329289E-2</v>
      </c>
      <c r="CW105" s="22"/>
      <c r="CX105" s="23">
        <v>25</v>
      </c>
      <c r="CY105" s="24">
        <f t="shared" ref="CY105:CY114" si="97">CX105/$CX$104</f>
        <v>2.1663778162911613E-2</v>
      </c>
      <c r="CZ105" s="23"/>
      <c r="DA105" s="23">
        <v>29</v>
      </c>
      <c r="DB105" s="24">
        <f>DA105/$DA$104</f>
        <v>2.4807527801539778E-2</v>
      </c>
      <c r="DC105" s="23"/>
      <c r="DD105" s="23">
        <v>35</v>
      </c>
      <c r="DE105" s="24">
        <f>DD105/$DA$104</f>
        <v>2.9940119760479042E-2</v>
      </c>
      <c r="DF105" s="23"/>
      <c r="DG105" s="23">
        <v>34</v>
      </c>
      <c r="DH105" s="24">
        <f>DG105/$DA$104</f>
        <v>2.9084687767322499E-2</v>
      </c>
    </row>
    <row r="106" spans="1:112" s="27" customFormat="1" ht="10.15" customHeight="1">
      <c r="A106" s="22"/>
      <c r="B106" s="116" t="s">
        <v>9</v>
      </c>
      <c r="C106" s="116"/>
      <c r="D106" s="116"/>
      <c r="E106" s="116"/>
      <c r="F106" s="23">
        <v>6</v>
      </c>
      <c r="G106" s="24">
        <f>(F106/F104)</f>
        <v>2.4927295388450354E-3</v>
      </c>
      <c r="H106" s="23"/>
      <c r="I106" s="23">
        <v>7</v>
      </c>
      <c r="J106" s="24">
        <f>(I106/I104)</f>
        <v>3.1305903398926656E-3</v>
      </c>
      <c r="K106" s="25"/>
      <c r="L106" s="23">
        <v>7</v>
      </c>
      <c r="M106" s="24">
        <f>(L106/L104)</f>
        <v>3.2065964269354101E-3</v>
      </c>
      <c r="N106" s="26"/>
      <c r="O106" s="23">
        <v>8</v>
      </c>
      <c r="P106" s="24">
        <f>(O106/O104)</f>
        <v>3.629764065335753E-3</v>
      </c>
      <c r="Q106" s="26"/>
      <c r="R106" s="23">
        <v>9</v>
      </c>
      <c r="S106" s="24">
        <f>(R106/R104)</f>
        <v>3.956043956043956E-3</v>
      </c>
      <c r="T106" s="26"/>
      <c r="U106" s="23">
        <v>9</v>
      </c>
      <c r="V106" s="24">
        <f>(U106/U104)</f>
        <v>4.0089086859688193E-3</v>
      </c>
      <c r="W106" s="26"/>
      <c r="X106" s="23">
        <v>7</v>
      </c>
      <c r="Y106" s="24">
        <f>(X106/X104)</f>
        <v>3.153153153153153E-3</v>
      </c>
      <c r="Z106" s="26"/>
      <c r="AA106" s="23">
        <v>9</v>
      </c>
      <c r="AB106" s="24">
        <f>(AA106/AA104)</f>
        <v>4.1763341067285386E-3</v>
      </c>
      <c r="AC106" s="26"/>
      <c r="AD106" s="23">
        <v>10</v>
      </c>
      <c r="AE106" s="24">
        <f>(AD106/AD104)</f>
        <v>4.662004662004662E-3</v>
      </c>
      <c r="AF106" s="26"/>
      <c r="AG106" s="23">
        <v>10</v>
      </c>
      <c r="AH106" s="24">
        <f>(AG106/AG104)</f>
        <v>4.6490004649000468E-3</v>
      </c>
      <c r="AI106" s="26"/>
      <c r="AJ106" s="23">
        <v>9</v>
      </c>
      <c r="AK106" s="24">
        <f>(AJ106/AJ104)</f>
        <v>4.2392840320301462E-3</v>
      </c>
      <c r="AL106" s="26"/>
      <c r="AM106" s="23">
        <v>8</v>
      </c>
      <c r="AN106" s="24">
        <f>(AM106/AM104)</f>
        <v>3.8910505836575876E-3</v>
      </c>
      <c r="AO106" s="22"/>
      <c r="AP106" s="23">
        <v>6</v>
      </c>
      <c r="AQ106" s="24">
        <f>(AP106/AP104)</f>
        <v>3.1380753138075313E-3</v>
      </c>
      <c r="AR106" s="22"/>
      <c r="AS106" s="23">
        <v>6</v>
      </c>
      <c r="AT106" s="24">
        <f>(AS106/AS104)</f>
        <v>3.0349013657056147E-3</v>
      </c>
      <c r="AU106" s="22"/>
      <c r="AV106" s="23">
        <v>6</v>
      </c>
      <c r="AW106" s="24">
        <f>(AV106/AV104)</f>
        <v>3.183023872679045E-3</v>
      </c>
      <c r="AX106" s="22"/>
      <c r="AY106" s="23">
        <v>6</v>
      </c>
      <c r="AZ106" s="24">
        <f>(AY106/AY104)</f>
        <v>3.2930845225027441E-3</v>
      </c>
      <c r="BA106" s="22"/>
      <c r="BB106" s="23">
        <v>6</v>
      </c>
      <c r="BC106" s="24">
        <f>(BB106/BB104)</f>
        <v>3.3632286995515697E-3</v>
      </c>
      <c r="BD106" s="22"/>
      <c r="BE106" s="23">
        <v>5</v>
      </c>
      <c r="BF106" s="24">
        <f>(BE106/BE104)</f>
        <v>2.8280542986425339E-3</v>
      </c>
      <c r="BG106" s="22"/>
      <c r="BH106" s="23">
        <v>5</v>
      </c>
      <c r="BI106" s="24">
        <f>(BH106/BH104)</f>
        <v>2.8702640642939152E-3</v>
      </c>
      <c r="BJ106" s="22"/>
      <c r="BK106" s="23">
        <v>5</v>
      </c>
      <c r="BL106" s="24">
        <f>(BK106/BK104)</f>
        <v>2.9886431560071729E-3</v>
      </c>
      <c r="BM106" s="22"/>
      <c r="BN106" s="23">
        <v>5</v>
      </c>
      <c r="BO106" s="24">
        <f>(BN106/BN104)</f>
        <v>3.3046926635822869E-3</v>
      </c>
      <c r="BP106" s="22"/>
      <c r="BQ106" s="23">
        <v>6</v>
      </c>
      <c r="BR106" s="24">
        <f>(BQ106/BQ104)</f>
        <v>4.0816326530612249E-3</v>
      </c>
      <c r="BS106" s="22"/>
      <c r="BT106" s="23">
        <v>6</v>
      </c>
      <c r="BU106" s="24">
        <f>(BT106/BT104)</f>
        <v>4.11522633744856E-3</v>
      </c>
      <c r="BV106" s="22"/>
      <c r="BW106" s="23">
        <v>6</v>
      </c>
      <c r="BX106" s="24">
        <f>(BW106/BW104)</f>
        <v>4.1522491349480972E-3</v>
      </c>
      <c r="BY106" s="22"/>
      <c r="BZ106" s="23">
        <v>9</v>
      </c>
      <c r="CA106" s="24">
        <f>(BZ106/BZ104)</f>
        <v>6.2893081761006293E-3</v>
      </c>
      <c r="CB106" s="22"/>
      <c r="CC106" s="23">
        <v>7</v>
      </c>
      <c r="CD106" s="24">
        <f>(CC106/CC104)</f>
        <v>4.9786628733997154E-3</v>
      </c>
      <c r="CE106" s="22"/>
      <c r="CF106" s="23">
        <v>7</v>
      </c>
      <c r="CG106" s="24">
        <f>(CF106/CF104)</f>
        <v>5.0835148874364558E-3</v>
      </c>
      <c r="CH106" s="22"/>
      <c r="CI106" s="23">
        <v>6</v>
      </c>
      <c r="CJ106" s="24">
        <f>CI106/CI104</f>
        <v>4.4977511244377807E-3</v>
      </c>
      <c r="CK106" s="22"/>
      <c r="CL106" s="23">
        <v>8</v>
      </c>
      <c r="CM106" s="24">
        <f t="shared" ref="CM106:CM113" si="98">CL106/1319</f>
        <v>6.0652009097801364E-3</v>
      </c>
      <c r="CN106" s="22"/>
      <c r="CO106" s="83">
        <v>8</v>
      </c>
      <c r="CP106" s="24">
        <f t="shared" si="95"/>
        <v>6.0377358490566035E-3</v>
      </c>
      <c r="CQ106" s="22"/>
      <c r="CR106" s="23">
        <v>6</v>
      </c>
      <c r="CS106" s="24">
        <f t="shared" si="96"/>
        <v>4.4843049327354259E-3</v>
      </c>
      <c r="CT106" s="22"/>
      <c r="CU106" s="23">
        <v>6</v>
      </c>
      <c r="CV106" s="24">
        <f t="shared" ref="CV106:CV114" si="99">CU106/$CX$104</f>
        <v>5.1993067590987872E-3</v>
      </c>
      <c r="CW106" s="22"/>
      <c r="CX106" s="23">
        <v>7</v>
      </c>
      <c r="CY106" s="24">
        <f t="shared" si="97"/>
        <v>6.0658578856152513E-3</v>
      </c>
      <c r="CZ106" s="23"/>
      <c r="DA106" s="23">
        <v>5</v>
      </c>
      <c r="DB106" s="24">
        <f t="shared" ref="DB106:DB114" si="100">DA106/$DA$104</f>
        <v>4.2771599657827203E-3</v>
      </c>
      <c r="DC106" s="23"/>
      <c r="DD106" s="23">
        <v>3</v>
      </c>
      <c r="DE106" s="24">
        <f t="shared" ref="DE106:DE114" si="101">DD106/$DA$104</f>
        <v>2.5662959794696323E-3</v>
      </c>
      <c r="DF106" s="23"/>
      <c r="DG106" s="23">
        <v>3</v>
      </c>
      <c r="DH106" s="24">
        <f t="shared" ref="DH106:DH114" si="102">DG106/$DA$104</f>
        <v>2.5662959794696323E-3</v>
      </c>
    </row>
    <row r="107" spans="1:112" s="27" customFormat="1" ht="10.15" customHeight="1">
      <c r="A107" s="22"/>
      <c r="B107" s="116" t="s">
        <v>32</v>
      </c>
      <c r="C107" s="116"/>
      <c r="D107" s="116"/>
      <c r="E107" s="116"/>
      <c r="F107" s="23">
        <v>42</v>
      </c>
      <c r="G107" s="24">
        <f>(F107/F104)</f>
        <v>1.7449106771915246E-2</v>
      </c>
      <c r="H107" s="23"/>
      <c r="I107" s="23">
        <v>34</v>
      </c>
      <c r="J107" s="24">
        <f>(I107/I104)</f>
        <v>1.520572450805009E-2</v>
      </c>
      <c r="K107" s="25"/>
      <c r="L107" s="23">
        <v>36</v>
      </c>
      <c r="M107" s="24">
        <f>(L107/L104)</f>
        <v>1.6491067338524967E-2</v>
      </c>
      <c r="N107" s="26"/>
      <c r="O107" s="23">
        <v>37</v>
      </c>
      <c r="P107" s="24">
        <f>(O107/O104)</f>
        <v>1.6787658802177859E-2</v>
      </c>
      <c r="Q107" s="26"/>
      <c r="R107" s="23">
        <v>39</v>
      </c>
      <c r="S107" s="24">
        <f>(R107/R104)</f>
        <v>1.7142857142857144E-2</v>
      </c>
      <c r="T107" s="26"/>
      <c r="U107" s="23">
        <v>42</v>
      </c>
      <c r="V107" s="24">
        <f>(U107/U104)</f>
        <v>1.8708240534521157E-2</v>
      </c>
      <c r="W107" s="26"/>
      <c r="X107" s="23">
        <v>44</v>
      </c>
      <c r="Y107" s="24">
        <f>(X107/X104)</f>
        <v>1.9819819819819819E-2</v>
      </c>
      <c r="Z107" s="26"/>
      <c r="AA107" s="23">
        <v>38</v>
      </c>
      <c r="AB107" s="24">
        <f>(AA107/AA104)</f>
        <v>1.7633410672853827E-2</v>
      </c>
      <c r="AC107" s="26"/>
      <c r="AD107" s="23">
        <v>33</v>
      </c>
      <c r="AE107" s="24">
        <f>(AD107/AD104)</f>
        <v>1.5384615384615385E-2</v>
      </c>
      <c r="AF107" s="26"/>
      <c r="AG107" s="23">
        <v>33</v>
      </c>
      <c r="AH107" s="24">
        <f>(AG107/AG104)</f>
        <v>1.5341701534170154E-2</v>
      </c>
      <c r="AI107" s="26"/>
      <c r="AJ107" s="23">
        <v>39</v>
      </c>
      <c r="AK107" s="24">
        <f>(AJ107/AJ104)</f>
        <v>1.8370230805463968E-2</v>
      </c>
      <c r="AL107" s="26"/>
      <c r="AM107" s="23">
        <v>36</v>
      </c>
      <c r="AN107" s="24">
        <f>(AM107/AM104)</f>
        <v>1.7509727626459144E-2</v>
      </c>
      <c r="AO107" s="22"/>
      <c r="AP107" s="23">
        <v>31</v>
      </c>
      <c r="AQ107" s="24">
        <f>(AP107/AP104)</f>
        <v>1.6213389121338913E-2</v>
      </c>
      <c r="AR107" s="22"/>
      <c r="AS107" s="23">
        <v>32</v>
      </c>
      <c r="AT107" s="24">
        <f>(AS107/AS104)</f>
        <v>1.6186140617096612E-2</v>
      </c>
      <c r="AU107" s="22"/>
      <c r="AV107" s="23">
        <v>32</v>
      </c>
      <c r="AW107" s="24">
        <f>(AV107/AV104)</f>
        <v>1.6976127320954906E-2</v>
      </c>
      <c r="AX107" s="22"/>
      <c r="AY107" s="23">
        <v>30</v>
      </c>
      <c r="AZ107" s="24">
        <f>(AY107/AY104)</f>
        <v>1.6465422612513721E-2</v>
      </c>
      <c r="BA107" s="22"/>
      <c r="BB107" s="23">
        <v>27</v>
      </c>
      <c r="BC107" s="24">
        <f>(BB107/BB104)</f>
        <v>1.5134529147982063E-2</v>
      </c>
      <c r="BD107" s="22"/>
      <c r="BE107" s="23">
        <v>29</v>
      </c>
      <c r="BF107" s="24">
        <f>(BE107/BE104)</f>
        <v>1.6402714932126698E-2</v>
      </c>
      <c r="BG107" s="22"/>
      <c r="BH107" s="23">
        <v>29</v>
      </c>
      <c r="BI107" s="24">
        <f>(BH107/BH104)</f>
        <v>1.6647531572904706E-2</v>
      </c>
      <c r="BJ107" s="22"/>
      <c r="BK107" s="23">
        <v>30</v>
      </c>
      <c r="BL107" s="24">
        <f>(BK107/BK104)</f>
        <v>1.7931858936043037E-2</v>
      </c>
      <c r="BM107" s="22"/>
      <c r="BN107" s="23">
        <v>26</v>
      </c>
      <c r="BO107" s="24">
        <f>(BN107/BN104)</f>
        <v>1.7184401850627893E-2</v>
      </c>
      <c r="BP107" s="22"/>
      <c r="BQ107" s="23">
        <v>23</v>
      </c>
      <c r="BR107" s="24">
        <f>(BQ107/BQ104)</f>
        <v>1.5646258503401362E-2</v>
      </c>
      <c r="BS107" s="22"/>
      <c r="BT107" s="23">
        <v>22</v>
      </c>
      <c r="BU107" s="24">
        <f>(BT107/BT104)</f>
        <v>1.5089163237311385E-2</v>
      </c>
      <c r="BV107" s="22"/>
      <c r="BW107" s="23">
        <v>22</v>
      </c>
      <c r="BX107" s="24">
        <f>(BW107/BW104)</f>
        <v>1.5224913494809689E-2</v>
      </c>
      <c r="BY107" s="22"/>
      <c r="BZ107" s="23">
        <v>24</v>
      </c>
      <c r="CA107" s="24">
        <f>(BZ107/BZ104)</f>
        <v>1.6771488469601678E-2</v>
      </c>
      <c r="CB107" s="22"/>
      <c r="CC107" s="23">
        <v>26</v>
      </c>
      <c r="CD107" s="24">
        <f>(CC107/CC104)</f>
        <v>1.849217638691323E-2</v>
      </c>
      <c r="CE107" s="22"/>
      <c r="CF107" s="23">
        <v>24</v>
      </c>
      <c r="CG107" s="24">
        <f>(CF107/CF104)</f>
        <v>1.7429193899782137E-2</v>
      </c>
      <c r="CH107" s="22"/>
      <c r="CI107" s="23">
        <v>25</v>
      </c>
      <c r="CJ107" s="24">
        <f>CI107/CI104</f>
        <v>1.8740629685157422E-2</v>
      </c>
      <c r="CK107" s="22"/>
      <c r="CL107" s="23">
        <v>29</v>
      </c>
      <c r="CM107" s="24">
        <f t="shared" si="98"/>
        <v>2.1986353297952996E-2</v>
      </c>
      <c r="CN107" s="22"/>
      <c r="CO107" s="83">
        <v>28</v>
      </c>
      <c r="CP107" s="24">
        <f t="shared" si="95"/>
        <v>2.1132075471698115E-2</v>
      </c>
      <c r="CQ107" s="22"/>
      <c r="CR107" s="23">
        <v>27</v>
      </c>
      <c r="CS107" s="24">
        <f t="shared" si="96"/>
        <v>2.0179372197309416E-2</v>
      </c>
      <c r="CT107" s="22"/>
      <c r="CU107" s="23">
        <v>26</v>
      </c>
      <c r="CV107" s="24">
        <f t="shared" si="99"/>
        <v>2.2530329289428077E-2</v>
      </c>
      <c r="CW107" s="22"/>
      <c r="CX107" s="23">
        <v>31</v>
      </c>
      <c r="CY107" s="24">
        <f t="shared" si="97"/>
        <v>2.6863084922010397E-2</v>
      </c>
      <c r="CZ107" s="23"/>
      <c r="DA107" s="23">
        <v>35</v>
      </c>
      <c r="DB107" s="24">
        <f t="shared" si="100"/>
        <v>2.9940119760479042E-2</v>
      </c>
      <c r="DC107" s="23"/>
      <c r="DD107" s="23">
        <v>34</v>
      </c>
      <c r="DE107" s="24">
        <f t="shared" si="101"/>
        <v>2.9084687767322499E-2</v>
      </c>
      <c r="DF107" s="23"/>
      <c r="DG107" s="23">
        <v>35</v>
      </c>
      <c r="DH107" s="24">
        <f t="shared" si="102"/>
        <v>2.9940119760479042E-2</v>
      </c>
    </row>
    <row r="108" spans="1:112" s="27" customFormat="1" ht="10.15" customHeight="1">
      <c r="A108" s="22"/>
      <c r="B108" s="116" t="s">
        <v>10</v>
      </c>
      <c r="C108" s="116"/>
      <c r="D108" s="116"/>
      <c r="E108" s="116"/>
      <c r="F108" s="23">
        <v>12</v>
      </c>
      <c r="G108" s="24">
        <f>(F108/F104)</f>
        <v>4.9854590776900708E-3</v>
      </c>
      <c r="H108" s="23"/>
      <c r="I108" s="23">
        <v>12</v>
      </c>
      <c r="J108" s="24">
        <f>(I108/I104)</f>
        <v>5.3667262969588547E-3</v>
      </c>
      <c r="K108" s="25"/>
      <c r="L108" s="23">
        <v>13</v>
      </c>
      <c r="M108" s="24">
        <f>(L108/L104)</f>
        <v>5.9551076500229038E-3</v>
      </c>
      <c r="N108" s="26"/>
      <c r="O108" s="23">
        <v>12</v>
      </c>
      <c r="P108" s="24">
        <f>(O108/O104)</f>
        <v>5.4446460980036296E-3</v>
      </c>
      <c r="Q108" s="26"/>
      <c r="R108" s="23">
        <v>16</v>
      </c>
      <c r="S108" s="24">
        <f>(R108/R104)</f>
        <v>7.032967032967033E-3</v>
      </c>
      <c r="T108" s="26"/>
      <c r="U108" s="23">
        <v>18</v>
      </c>
      <c r="V108" s="24">
        <f>(U108/U104)</f>
        <v>8.0178173719376387E-3</v>
      </c>
      <c r="W108" s="26"/>
      <c r="X108" s="23">
        <v>17</v>
      </c>
      <c r="Y108" s="24">
        <f>(X108/X104)</f>
        <v>7.6576576576576575E-3</v>
      </c>
      <c r="Z108" s="26"/>
      <c r="AA108" s="23">
        <v>22</v>
      </c>
      <c r="AB108" s="24">
        <f>(AA108/AA104)</f>
        <v>1.0208816705336427E-2</v>
      </c>
      <c r="AC108" s="26"/>
      <c r="AD108" s="23">
        <v>20</v>
      </c>
      <c r="AE108" s="24">
        <f>(AD108/AD104)</f>
        <v>9.324009324009324E-3</v>
      </c>
      <c r="AF108" s="26"/>
      <c r="AG108" s="23">
        <v>19</v>
      </c>
      <c r="AH108" s="24">
        <f>(AG108/AG104)</f>
        <v>8.8331008833100882E-3</v>
      </c>
      <c r="AI108" s="26"/>
      <c r="AJ108" s="23">
        <v>23</v>
      </c>
      <c r="AK108" s="24">
        <f>(AJ108/AJ104)</f>
        <v>1.0833725859632595E-2</v>
      </c>
      <c r="AL108" s="26"/>
      <c r="AM108" s="23">
        <v>18</v>
      </c>
      <c r="AN108" s="24">
        <f>(AM108/AM104)</f>
        <v>8.7548638132295721E-3</v>
      </c>
      <c r="AO108" s="22"/>
      <c r="AP108" s="23">
        <v>17</v>
      </c>
      <c r="AQ108" s="24">
        <f>(AP108/AP104)</f>
        <v>8.8912133891213396E-3</v>
      </c>
      <c r="AR108" s="22"/>
      <c r="AS108" s="23">
        <v>19</v>
      </c>
      <c r="AT108" s="24">
        <f>(AS108/AS104)</f>
        <v>9.6105209914011131E-3</v>
      </c>
      <c r="AU108" s="22"/>
      <c r="AV108" s="23">
        <v>18</v>
      </c>
      <c r="AW108" s="24">
        <f>(AV108/AV104)</f>
        <v>9.5490716180371346E-3</v>
      </c>
      <c r="AX108" s="22"/>
      <c r="AY108" s="23">
        <v>18</v>
      </c>
      <c r="AZ108" s="24">
        <f>(AY108/AY104)</f>
        <v>9.8792535675082324E-3</v>
      </c>
      <c r="BA108" s="22"/>
      <c r="BB108" s="23">
        <v>19</v>
      </c>
      <c r="BC108" s="24">
        <f>(BB108/BB104)</f>
        <v>1.0650224215246636E-2</v>
      </c>
      <c r="BD108" s="22"/>
      <c r="BE108" s="23">
        <v>20</v>
      </c>
      <c r="BF108" s="24">
        <f>(BE108/BE104)</f>
        <v>1.1312217194570135E-2</v>
      </c>
      <c r="BG108" s="22"/>
      <c r="BH108" s="23">
        <v>21</v>
      </c>
      <c r="BI108" s="24">
        <f>(BH108/BH104)</f>
        <v>1.2055109070034443E-2</v>
      </c>
      <c r="BJ108" s="22"/>
      <c r="BK108" s="23">
        <v>18</v>
      </c>
      <c r="BL108" s="24">
        <f>(BK108/BK104)</f>
        <v>1.0759115361625823E-2</v>
      </c>
      <c r="BM108" s="22"/>
      <c r="BN108" s="23">
        <v>17</v>
      </c>
      <c r="BO108" s="24">
        <f>(BN108/BN104)</f>
        <v>1.1235955056179775E-2</v>
      </c>
      <c r="BP108" s="22"/>
      <c r="BQ108" s="23">
        <v>20</v>
      </c>
      <c r="BR108" s="24">
        <f>(BQ108/BQ104)</f>
        <v>1.3605442176870748E-2</v>
      </c>
      <c r="BS108" s="22"/>
      <c r="BT108" s="23">
        <v>20</v>
      </c>
      <c r="BU108" s="24">
        <f>(BT108/BT104)</f>
        <v>1.3717421124828532E-2</v>
      </c>
      <c r="BV108" s="22"/>
      <c r="BW108" s="23">
        <v>21</v>
      </c>
      <c r="BX108" s="24">
        <f>(BW108/BW104)</f>
        <v>1.453287197231834E-2</v>
      </c>
      <c r="BY108" s="22"/>
      <c r="BZ108" s="23">
        <v>24</v>
      </c>
      <c r="CA108" s="24">
        <f>(BZ108/BZ104)</f>
        <v>1.6771488469601678E-2</v>
      </c>
      <c r="CB108" s="22"/>
      <c r="CC108" s="23">
        <v>23</v>
      </c>
      <c r="CD108" s="24">
        <f>(CC108/CC104)</f>
        <v>1.6358463726884778E-2</v>
      </c>
      <c r="CE108" s="22"/>
      <c r="CF108" s="23">
        <v>28</v>
      </c>
      <c r="CG108" s="24">
        <f>(CF108/CF104)</f>
        <v>2.0334059549745823E-2</v>
      </c>
      <c r="CH108" s="22"/>
      <c r="CI108" s="23">
        <v>31</v>
      </c>
      <c r="CJ108" s="24">
        <f>CI108/CI104</f>
        <v>2.3238380809595203E-2</v>
      </c>
      <c r="CK108" s="22"/>
      <c r="CL108" s="23">
        <v>35</v>
      </c>
      <c r="CM108" s="24">
        <f t="shared" si="98"/>
        <v>2.6535253980288095E-2</v>
      </c>
      <c r="CN108" s="22"/>
      <c r="CO108" s="83">
        <v>33</v>
      </c>
      <c r="CP108" s="24">
        <f t="shared" si="95"/>
        <v>2.4905660377358491E-2</v>
      </c>
      <c r="CQ108" s="22"/>
      <c r="CR108" s="23">
        <v>39</v>
      </c>
      <c r="CS108" s="24">
        <f t="shared" si="96"/>
        <v>2.914798206278027E-2</v>
      </c>
      <c r="CT108" s="22"/>
      <c r="CU108" s="23">
        <v>42</v>
      </c>
      <c r="CV108" s="24">
        <f t="shared" si="99"/>
        <v>3.6395147313691506E-2</v>
      </c>
      <c r="CW108" s="22"/>
      <c r="CX108" s="23">
        <v>36</v>
      </c>
      <c r="CY108" s="24">
        <f t="shared" si="97"/>
        <v>3.1195840554592721E-2</v>
      </c>
      <c r="CZ108" s="23"/>
      <c r="DA108" s="23">
        <v>53</v>
      </c>
      <c r="DB108" s="24">
        <f t="shared" si="100"/>
        <v>4.5337895637296836E-2</v>
      </c>
      <c r="DC108" s="23"/>
      <c r="DD108" s="23">
        <v>50</v>
      </c>
      <c r="DE108" s="24">
        <f t="shared" si="101"/>
        <v>4.2771599657827203E-2</v>
      </c>
      <c r="DF108" s="23"/>
      <c r="DG108" s="23">
        <v>55</v>
      </c>
      <c r="DH108" s="24">
        <f t="shared" si="102"/>
        <v>4.7048759623609923E-2</v>
      </c>
    </row>
    <row r="109" spans="1:112" s="27" customFormat="1" ht="10.15" customHeight="1">
      <c r="A109" s="22"/>
      <c r="B109" s="116" t="s">
        <v>33</v>
      </c>
      <c r="C109" s="116"/>
      <c r="D109" s="116"/>
      <c r="E109" s="116"/>
      <c r="F109" s="23"/>
      <c r="G109" s="24"/>
      <c r="H109" s="23"/>
      <c r="I109" s="23"/>
      <c r="J109" s="24"/>
      <c r="K109" s="25"/>
      <c r="L109" s="23"/>
      <c r="M109" s="24"/>
      <c r="N109" s="26"/>
      <c r="O109" s="23"/>
      <c r="P109" s="24"/>
      <c r="Q109" s="26"/>
      <c r="R109" s="23"/>
      <c r="S109" s="24"/>
      <c r="T109" s="26"/>
      <c r="U109" s="23"/>
      <c r="V109" s="24"/>
      <c r="W109" s="26"/>
      <c r="X109" s="23"/>
      <c r="Y109" s="24"/>
      <c r="Z109" s="26"/>
      <c r="AA109" s="23"/>
      <c r="AB109" s="24"/>
      <c r="AC109" s="26"/>
      <c r="AD109" s="23"/>
      <c r="AE109" s="24"/>
      <c r="AF109" s="26"/>
      <c r="AG109" s="23"/>
      <c r="AH109" s="24"/>
      <c r="AI109" s="26"/>
      <c r="AJ109" s="23"/>
      <c r="AK109" s="24"/>
      <c r="AL109" s="26"/>
      <c r="AM109" s="23"/>
      <c r="AN109" s="24"/>
      <c r="AO109" s="22"/>
      <c r="AP109" s="23"/>
      <c r="AQ109" s="24"/>
      <c r="AR109" s="22"/>
      <c r="AS109" s="23"/>
      <c r="AT109" s="24"/>
      <c r="AU109" s="22"/>
      <c r="AV109" s="23"/>
      <c r="AW109" s="24"/>
      <c r="AX109" s="22"/>
      <c r="AY109" s="23"/>
      <c r="AZ109" s="24"/>
      <c r="BA109" s="22"/>
      <c r="BB109" s="23"/>
      <c r="BC109" s="24"/>
      <c r="BD109" s="22"/>
      <c r="BE109" s="23"/>
      <c r="BF109" s="24"/>
      <c r="BG109" s="22"/>
      <c r="BH109" s="23"/>
      <c r="BI109" s="24"/>
      <c r="BJ109" s="22"/>
      <c r="BK109" s="23">
        <v>0</v>
      </c>
      <c r="BL109" s="24">
        <f>BK109/BK104</f>
        <v>0</v>
      </c>
      <c r="BM109" s="22"/>
      <c r="BN109" s="23">
        <v>0</v>
      </c>
      <c r="BO109" s="24">
        <f>BN109/BN104</f>
        <v>0</v>
      </c>
      <c r="BP109" s="22"/>
      <c r="BQ109" s="23">
        <v>0</v>
      </c>
      <c r="BR109" s="24">
        <f>BQ109/BQ104</f>
        <v>0</v>
      </c>
      <c r="BS109" s="22"/>
      <c r="BT109" s="23">
        <v>0</v>
      </c>
      <c r="BU109" s="24">
        <f>BT109/BT104</f>
        <v>0</v>
      </c>
      <c r="BV109" s="22"/>
      <c r="BW109" s="23">
        <v>0</v>
      </c>
      <c r="BX109" s="24">
        <f>BW109/BW104</f>
        <v>0</v>
      </c>
      <c r="BY109" s="22"/>
      <c r="BZ109" s="23">
        <v>0</v>
      </c>
      <c r="CA109" s="24">
        <f>BZ109/BZ104</f>
        <v>0</v>
      </c>
      <c r="CB109" s="22"/>
      <c r="CC109" s="23">
        <v>1</v>
      </c>
      <c r="CD109" s="24">
        <f>CC109/CC104</f>
        <v>7.1123755334281653E-4</v>
      </c>
      <c r="CE109" s="22"/>
      <c r="CF109" s="23">
        <v>0</v>
      </c>
      <c r="CG109" s="24">
        <f>CF109/CF104</f>
        <v>0</v>
      </c>
      <c r="CH109" s="22"/>
      <c r="CI109" s="23">
        <v>0</v>
      </c>
      <c r="CJ109" s="24">
        <f>CI109/CI104</f>
        <v>0</v>
      </c>
      <c r="CK109" s="22"/>
      <c r="CL109" s="23">
        <v>0</v>
      </c>
      <c r="CM109" s="24">
        <f t="shared" si="98"/>
        <v>0</v>
      </c>
      <c r="CN109" s="22"/>
      <c r="CO109" s="83">
        <v>0</v>
      </c>
      <c r="CP109" s="24">
        <f t="shared" si="95"/>
        <v>0</v>
      </c>
      <c r="CQ109" s="22"/>
      <c r="CR109" s="23">
        <v>0</v>
      </c>
      <c r="CS109" s="24">
        <f t="shared" si="96"/>
        <v>0</v>
      </c>
      <c r="CT109" s="22"/>
      <c r="CU109" s="23">
        <v>0</v>
      </c>
      <c r="CV109" s="24">
        <f t="shared" si="99"/>
        <v>0</v>
      </c>
      <c r="CW109" s="22"/>
      <c r="CX109" s="23">
        <v>0</v>
      </c>
      <c r="CY109" s="24">
        <f t="shared" si="97"/>
        <v>0</v>
      </c>
      <c r="CZ109" s="23"/>
      <c r="DA109" s="23">
        <v>0</v>
      </c>
      <c r="DB109" s="24">
        <f t="shared" si="100"/>
        <v>0</v>
      </c>
      <c r="DC109" s="23"/>
      <c r="DD109" s="23">
        <v>0</v>
      </c>
      <c r="DE109" s="24">
        <f t="shared" si="101"/>
        <v>0</v>
      </c>
      <c r="DF109" s="23"/>
      <c r="DG109" s="23">
        <v>0</v>
      </c>
      <c r="DH109" s="24">
        <f t="shared" si="102"/>
        <v>0</v>
      </c>
    </row>
    <row r="110" spans="1:112" s="27" customFormat="1" ht="10.15" customHeight="1">
      <c r="A110" s="22"/>
      <c r="B110" s="116" t="s">
        <v>34</v>
      </c>
      <c r="C110" s="116"/>
      <c r="D110" s="116"/>
      <c r="E110" s="116"/>
      <c r="F110" s="23"/>
      <c r="G110" s="24"/>
      <c r="H110" s="23"/>
      <c r="I110" s="23"/>
      <c r="J110" s="24"/>
      <c r="K110" s="25"/>
      <c r="L110" s="23"/>
      <c r="M110" s="24"/>
      <c r="N110" s="26"/>
      <c r="O110" s="23"/>
      <c r="P110" s="24"/>
      <c r="Q110" s="26"/>
      <c r="R110" s="23"/>
      <c r="S110" s="24"/>
      <c r="T110" s="26"/>
      <c r="U110" s="23"/>
      <c r="V110" s="24"/>
      <c r="W110" s="26"/>
      <c r="X110" s="23"/>
      <c r="Y110" s="24"/>
      <c r="Z110" s="26"/>
      <c r="AA110" s="23"/>
      <c r="AB110" s="24"/>
      <c r="AC110" s="26"/>
      <c r="AD110" s="23"/>
      <c r="AE110" s="24"/>
      <c r="AF110" s="26"/>
      <c r="AG110" s="23"/>
      <c r="AH110" s="24"/>
      <c r="AI110" s="26"/>
      <c r="AJ110" s="23"/>
      <c r="AK110" s="24"/>
      <c r="AL110" s="26"/>
      <c r="AM110" s="23"/>
      <c r="AN110" s="24"/>
      <c r="AO110" s="22"/>
      <c r="AP110" s="23"/>
      <c r="AQ110" s="24"/>
      <c r="AR110" s="22"/>
      <c r="AS110" s="23"/>
      <c r="AT110" s="24"/>
      <c r="AU110" s="22"/>
      <c r="AV110" s="23"/>
      <c r="AW110" s="24"/>
      <c r="AX110" s="22"/>
      <c r="AY110" s="23"/>
      <c r="AZ110" s="24"/>
      <c r="BA110" s="22"/>
      <c r="BB110" s="23"/>
      <c r="BC110" s="24"/>
      <c r="BD110" s="22"/>
      <c r="BE110" s="23"/>
      <c r="BF110" s="24"/>
      <c r="BG110" s="22"/>
      <c r="BH110" s="23"/>
      <c r="BI110" s="24"/>
      <c r="BJ110" s="22"/>
      <c r="BK110" s="23">
        <v>2</v>
      </c>
      <c r="BL110" s="24">
        <f>BK110/BK104</f>
        <v>1.195457262402869E-3</v>
      </c>
      <c r="BM110" s="22"/>
      <c r="BN110" s="23">
        <v>4</v>
      </c>
      <c r="BO110" s="24">
        <f>BN110/BN104</f>
        <v>2.6437541308658294E-3</v>
      </c>
      <c r="BP110" s="22"/>
      <c r="BQ110" s="23">
        <v>3</v>
      </c>
      <c r="BR110" s="24">
        <f>BQ110/BQ104</f>
        <v>2.0408163265306124E-3</v>
      </c>
      <c r="BS110" s="22"/>
      <c r="BT110" s="23">
        <v>3</v>
      </c>
      <c r="BU110" s="24">
        <f>BT110/BT104</f>
        <v>2.05761316872428E-3</v>
      </c>
      <c r="BV110" s="22"/>
      <c r="BW110" s="23">
        <v>2</v>
      </c>
      <c r="BX110" s="24">
        <f>BW110/BW104</f>
        <v>1.3840830449826989E-3</v>
      </c>
      <c r="BY110" s="22"/>
      <c r="BZ110" s="23">
        <v>1</v>
      </c>
      <c r="CA110" s="24">
        <f>BZ110/BZ104</f>
        <v>6.9881201956673651E-4</v>
      </c>
      <c r="CB110" s="22"/>
      <c r="CC110" s="23">
        <v>3</v>
      </c>
      <c r="CD110" s="24">
        <f>CC110/CC104</f>
        <v>2.1337126600284497E-3</v>
      </c>
      <c r="CE110" s="22"/>
      <c r="CF110" s="23">
        <v>3</v>
      </c>
      <c r="CG110" s="24">
        <f>CF110/CF104</f>
        <v>2.1786492374727671E-3</v>
      </c>
      <c r="CH110" s="22"/>
      <c r="CI110" s="23">
        <v>7</v>
      </c>
      <c r="CJ110" s="24">
        <f>CI110/CI104</f>
        <v>5.2473763118440781E-3</v>
      </c>
      <c r="CK110" s="22"/>
      <c r="CL110" s="23">
        <v>8</v>
      </c>
      <c r="CM110" s="24">
        <f t="shared" si="98"/>
        <v>6.0652009097801364E-3</v>
      </c>
      <c r="CN110" s="22"/>
      <c r="CO110" s="83">
        <v>11</v>
      </c>
      <c r="CP110" s="24">
        <f t="shared" si="95"/>
        <v>8.3018867924528304E-3</v>
      </c>
      <c r="CQ110" s="22"/>
      <c r="CR110" s="23">
        <v>13</v>
      </c>
      <c r="CS110" s="24">
        <f t="shared" si="96"/>
        <v>9.7159940209267555E-3</v>
      </c>
      <c r="CT110" s="22"/>
      <c r="CU110" s="23">
        <v>15</v>
      </c>
      <c r="CV110" s="24">
        <f t="shared" si="99"/>
        <v>1.2998266897746967E-2</v>
      </c>
      <c r="CW110" s="22"/>
      <c r="CX110" s="23">
        <v>17</v>
      </c>
      <c r="CY110" s="24">
        <f t="shared" si="97"/>
        <v>1.4731369150779897E-2</v>
      </c>
      <c r="CZ110" s="23"/>
      <c r="DA110" s="23">
        <v>12</v>
      </c>
      <c r="DB110" s="24">
        <f t="shared" si="100"/>
        <v>1.0265183917878529E-2</v>
      </c>
      <c r="DC110" s="23"/>
      <c r="DD110" s="23">
        <v>11</v>
      </c>
      <c r="DE110" s="24">
        <f t="shared" si="101"/>
        <v>9.4097519247219839E-3</v>
      </c>
      <c r="DF110" s="23"/>
      <c r="DG110" s="23">
        <v>10</v>
      </c>
      <c r="DH110" s="24">
        <f t="shared" si="102"/>
        <v>8.5543199315654406E-3</v>
      </c>
    </row>
    <row r="111" spans="1:112" s="27" customFormat="1" ht="10.15" customHeight="1">
      <c r="A111" s="22"/>
      <c r="B111" s="22" t="s">
        <v>71</v>
      </c>
      <c r="C111" s="22"/>
      <c r="D111" s="22"/>
      <c r="E111" s="22"/>
      <c r="F111" s="23"/>
      <c r="G111" s="24"/>
      <c r="H111" s="23"/>
      <c r="I111" s="23"/>
      <c r="J111" s="24"/>
      <c r="K111" s="25"/>
      <c r="L111" s="23"/>
      <c r="M111" s="24"/>
      <c r="N111" s="26"/>
      <c r="O111" s="23"/>
      <c r="P111" s="24"/>
      <c r="Q111" s="26"/>
      <c r="R111" s="23"/>
      <c r="S111" s="24"/>
      <c r="T111" s="26"/>
      <c r="U111" s="23"/>
      <c r="V111" s="24"/>
      <c r="W111" s="26"/>
      <c r="X111" s="23"/>
      <c r="Y111" s="24"/>
      <c r="Z111" s="26"/>
      <c r="AA111" s="23"/>
      <c r="AB111" s="24"/>
      <c r="AC111" s="26"/>
      <c r="AD111" s="23"/>
      <c r="AE111" s="24"/>
      <c r="AF111" s="26"/>
      <c r="AG111" s="23"/>
      <c r="AH111" s="24"/>
      <c r="AI111" s="26"/>
      <c r="AJ111" s="23"/>
      <c r="AK111" s="24"/>
      <c r="AL111" s="26"/>
      <c r="AM111" s="23"/>
      <c r="AN111" s="24"/>
      <c r="AO111" s="22"/>
      <c r="AP111" s="23"/>
      <c r="AQ111" s="24"/>
      <c r="AR111" s="22"/>
      <c r="AS111" s="23"/>
      <c r="AT111" s="24"/>
      <c r="AU111" s="22"/>
      <c r="AV111" s="23"/>
      <c r="AW111" s="24"/>
      <c r="AX111" s="22"/>
      <c r="AY111" s="23"/>
      <c r="AZ111" s="24"/>
      <c r="BA111" s="22"/>
      <c r="BB111" s="23"/>
      <c r="BC111" s="24"/>
      <c r="BD111" s="22"/>
      <c r="BE111" s="23"/>
      <c r="BF111" s="24"/>
      <c r="BG111" s="22"/>
      <c r="BH111" s="23"/>
      <c r="BI111" s="24"/>
      <c r="BJ111" s="22"/>
      <c r="BK111" s="23"/>
      <c r="BL111" s="24"/>
      <c r="BM111" s="22"/>
      <c r="BN111" s="23"/>
      <c r="BO111" s="24"/>
      <c r="BP111" s="22"/>
      <c r="BQ111" s="23"/>
      <c r="BR111" s="24"/>
      <c r="BS111" s="22"/>
      <c r="BT111" s="23"/>
      <c r="BU111" s="24"/>
      <c r="BV111" s="22"/>
      <c r="BW111" s="23"/>
      <c r="BX111" s="24"/>
      <c r="BY111" s="22"/>
      <c r="BZ111" s="23"/>
      <c r="CA111" s="24"/>
      <c r="CB111" s="22"/>
      <c r="CC111" s="23"/>
      <c r="CD111" s="24"/>
      <c r="CE111" s="22"/>
      <c r="CF111" s="109" t="s">
        <v>59</v>
      </c>
      <c r="CG111" s="110" t="s">
        <v>61</v>
      </c>
      <c r="CH111" s="76"/>
      <c r="CI111" s="109" t="s">
        <v>59</v>
      </c>
      <c r="CJ111" s="110" t="s">
        <v>62</v>
      </c>
      <c r="CK111" s="76"/>
      <c r="CL111" s="109" t="s">
        <v>59</v>
      </c>
      <c r="CM111" s="110" t="s">
        <v>63</v>
      </c>
      <c r="CN111" s="22"/>
      <c r="CO111" s="83">
        <v>4</v>
      </c>
      <c r="CP111" s="24">
        <v>0</v>
      </c>
      <c r="CQ111" s="22"/>
      <c r="CR111" s="23">
        <v>1</v>
      </c>
      <c r="CS111" s="24">
        <f t="shared" si="96"/>
        <v>7.4738415545590436E-4</v>
      </c>
      <c r="CT111" s="22"/>
      <c r="CU111" s="23">
        <v>3</v>
      </c>
      <c r="CV111" s="24">
        <f t="shared" si="99"/>
        <v>2.5996533795493936E-3</v>
      </c>
      <c r="CW111" s="22"/>
      <c r="CX111" s="23">
        <v>3</v>
      </c>
      <c r="CY111" s="24">
        <f t="shared" si="97"/>
        <v>2.5996533795493936E-3</v>
      </c>
      <c r="CZ111" s="23"/>
      <c r="DA111" s="23">
        <v>4</v>
      </c>
      <c r="DB111" s="24">
        <f t="shared" si="100"/>
        <v>3.4217279726261761E-3</v>
      </c>
      <c r="DC111" s="23"/>
      <c r="DD111" s="23">
        <v>9</v>
      </c>
      <c r="DE111" s="24">
        <f t="shared" si="101"/>
        <v>7.6988879384088963E-3</v>
      </c>
      <c r="DF111" s="23"/>
      <c r="DG111" s="23">
        <v>5</v>
      </c>
      <c r="DH111" s="24">
        <f t="shared" si="102"/>
        <v>4.2771599657827203E-3</v>
      </c>
    </row>
    <row r="112" spans="1:112" s="27" customFormat="1" ht="10.15" customHeight="1">
      <c r="A112" s="22"/>
      <c r="B112" s="22"/>
      <c r="C112" s="123" t="s">
        <v>68</v>
      </c>
      <c r="D112" s="123"/>
      <c r="E112" s="123"/>
      <c r="F112" s="23">
        <f>SUM(F105:F108)</f>
        <v>80</v>
      </c>
      <c r="G112" s="24">
        <f>(F112/F104)</f>
        <v>3.3236393851267136E-2</v>
      </c>
      <c r="H112" s="23"/>
      <c r="I112" s="23">
        <f>SUM(I105:I108)</f>
        <v>74</v>
      </c>
      <c r="J112" s="24">
        <f>(I112/I104)</f>
        <v>3.3094812164579608E-2</v>
      </c>
      <c r="K112" s="25"/>
      <c r="L112" s="23">
        <f>SUM(L105:L108)</f>
        <v>77</v>
      </c>
      <c r="M112" s="24">
        <f>(L112/L104)</f>
        <v>3.5272560696289507E-2</v>
      </c>
      <c r="N112" s="26"/>
      <c r="O112" s="23">
        <f>SUM(O105:O108)</f>
        <v>84</v>
      </c>
      <c r="P112" s="24">
        <f>(O112/O104)</f>
        <v>3.8112522686025406E-2</v>
      </c>
      <c r="Q112" s="26"/>
      <c r="R112" s="23">
        <f>SUM(R105:R108)</f>
        <v>90</v>
      </c>
      <c r="S112" s="24">
        <f>(R112/R104)</f>
        <v>3.9560439560439559E-2</v>
      </c>
      <c r="T112" s="26"/>
      <c r="U112" s="23">
        <f>SUM(U105:U108)</f>
        <v>87</v>
      </c>
      <c r="V112" s="24">
        <f>(U112/U104)</f>
        <v>3.8752783964365253E-2</v>
      </c>
      <c r="W112" s="26"/>
      <c r="X112" s="23">
        <f>SUM(X105:X108)</f>
        <v>84</v>
      </c>
      <c r="Y112" s="24">
        <f>(X112/X104)</f>
        <v>3.783783783783784E-2</v>
      </c>
      <c r="Z112" s="26"/>
      <c r="AA112" s="23">
        <f>SUM(AA105:AA108)</f>
        <v>85</v>
      </c>
      <c r="AB112" s="24">
        <f>(AA112/AA104)</f>
        <v>3.9443155452436193E-2</v>
      </c>
      <c r="AC112" s="26"/>
      <c r="AD112" s="23">
        <f>SUM(AD105:AD108)</f>
        <v>81</v>
      </c>
      <c r="AE112" s="24">
        <f>(AD112/AD104)</f>
        <v>3.7762237762237763E-2</v>
      </c>
      <c r="AF112" s="26"/>
      <c r="AG112" s="23">
        <f>SUM(AG105:AG108)</f>
        <v>82</v>
      </c>
      <c r="AH112" s="24">
        <f>(AG112/AG104)</f>
        <v>3.8121803812180381E-2</v>
      </c>
      <c r="AI112" s="26"/>
      <c r="AJ112" s="23">
        <f>SUM(AJ105:AJ108)</f>
        <v>96</v>
      </c>
      <c r="AK112" s="24">
        <f>(AJ112/AJ104)</f>
        <v>4.5219029674988226E-2</v>
      </c>
      <c r="AL112" s="26"/>
      <c r="AM112" s="23">
        <f>SUM(AM105:AM108)</f>
        <v>83</v>
      </c>
      <c r="AN112" s="24">
        <f>(AM112/AM104)</f>
        <v>4.0369649805447473E-2</v>
      </c>
      <c r="AO112" s="22"/>
      <c r="AP112" s="23">
        <f>SUM(AP105:AP108)</f>
        <v>76</v>
      </c>
      <c r="AQ112" s="24">
        <f>(AP112/AP104)</f>
        <v>3.9748953974895397E-2</v>
      </c>
      <c r="AR112" s="22"/>
      <c r="AS112" s="23">
        <f>SUM(AS105:AS108)</f>
        <v>78</v>
      </c>
      <c r="AT112" s="24">
        <f>(AS112/AS104)</f>
        <v>3.9453717754172987E-2</v>
      </c>
      <c r="AU112" s="22"/>
      <c r="AV112" s="23">
        <f>SUM(AV105:AV108)</f>
        <v>74</v>
      </c>
      <c r="AW112" s="24">
        <f>(AV112/AV104)</f>
        <v>3.9257294429708225E-2</v>
      </c>
      <c r="AX112" s="22"/>
      <c r="AY112" s="23">
        <f>SUM(AY105:AY108)</f>
        <v>72</v>
      </c>
      <c r="AZ112" s="24">
        <f>(AY112/AY104)</f>
        <v>3.951701427003293E-2</v>
      </c>
      <c r="BA112" s="22"/>
      <c r="BB112" s="23">
        <f>SUM(BB105:BB108)</f>
        <v>66</v>
      </c>
      <c r="BC112" s="24">
        <f>(BB112/BB104)</f>
        <v>3.6995515695067267E-2</v>
      </c>
      <c r="BD112" s="22"/>
      <c r="BE112" s="23">
        <f>SUM(BE105:BE108)</f>
        <v>72</v>
      </c>
      <c r="BF112" s="24">
        <f>(BE112/BE104)</f>
        <v>4.072398190045249E-2</v>
      </c>
      <c r="BG112" s="22"/>
      <c r="BH112" s="23">
        <f>SUM(BH105:BH108)</f>
        <v>74</v>
      </c>
      <c r="BI112" s="24">
        <f>(BH112/BH104)</f>
        <v>4.2479908151549943E-2</v>
      </c>
      <c r="BJ112" s="22"/>
      <c r="BK112" s="23">
        <f>SUM(BK105:BK110)</f>
        <v>71</v>
      </c>
      <c r="BL112" s="24">
        <f>(BK112/BK104)</f>
        <v>4.2438732815301854E-2</v>
      </c>
      <c r="BM112" s="22"/>
      <c r="BN112" s="23">
        <f>SUM(BN105:BN110)</f>
        <v>70</v>
      </c>
      <c r="BO112" s="24">
        <f>(BN112/BN104)</f>
        <v>4.6265697290152015E-2</v>
      </c>
      <c r="BP112" s="22"/>
      <c r="BQ112" s="23">
        <f>SUM(BQ105:BQ110)</f>
        <v>72</v>
      </c>
      <c r="BR112" s="24">
        <f>(BQ112/BQ104)</f>
        <v>4.8979591836734691E-2</v>
      </c>
      <c r="BS112" s="22"/>
      <c r="BT112" s="23">
        <f>SUM(BT105:BT110)</f>
        <v>71</v>
      </c>
      <c r="BU112" s="24">
        <f>(BT112/BT104)</f>
        <v>4.8696844993141288E-2</v>
      </c>
      <c r="BV112" s="22"/>
      <c r="BW112" s="23">
        <f>SUM(BW105:BW110)</f>
        <v>74</v>
      </c>
      <c r="BX112" s="24">
        <f>(BW112/BW104)</f>
        <v>5.1211072664359862E-2</v>
      </c>
      <c r="BY112" s="22"/>
      <c r="BZ112" s="23">
        <f>SUM(BZ105:BZ110)</f>
        <v>82</v>
      </c>
      <c r="CA112" s="24">
        <f>(BZ112/BZ104)</f>
        <v>5.7302585604472399E-2</v>
      </c>
      <c r="CB112" s="22"/>
      <c r="CC112" s="23">
        <f>SUM(CC105:CC110)</f>
        <v>82</v>
      </c>
      <c r="CD112" s="24">
        <f>(CC112/CC104)</f>
        <v>5.8321479374110953E-2</v>
      </c>
      <c r="CE112" s="22"/>
      <c r="CF112" s="23">
        <f>SUM(CF105:CF110)</f>
        <v>83</v>
      </c>
      <c r="CG112" s="24">
        <f>(CF112/CF104)</f>
        <v>6.0275962236746548E-2</v>
      </c>
      <c r="CH112" s="22"/>
      <c r="CI112" s="23">
        <f>SUM(CI105:CI110)</f>
        <v>95</v>
      </c>
      <c r="CJ112" s="24">
        <f>CI112/CI104</f>
        <v>7.1214392803598203E-2</v>
      </c>
      <c r="CK112" s="22"/>
      <c r="CL112" s="23">
        <f>SUM(CL105:CL110)</f>
        <v>108</v>
      </c>
      <c r="CM112" s="24">
        <f t="shared" si="98"/>
        <v>8.1880212282031836E-2</v>
      </c>
      <c r="CN112" s="22"/>
      <c r="CO112" s="83">
        <f>SUM(CO105:CO111)</f>
        <v>110</v>
      </c>
      <c r="CP112" s="24">
        <f t="shared" si="95"/>
        <v>8.3018867924528297E-2</v>
      </c>
      <c r="CQ112" s="22"/>
      <c r="CR112" s="23">
        <f>SUM(CR105:CR111)</f>
        <v>109</v>
      </c>
      <c r="CS112" s="24">
        <f t="shared" si="96"/>
        <v>8.1464872944693567E-2</v>
      </c>
      <c r="CT112" s="22"/>
      <c r="CU112" s="23">
        <f>SUM(CU105:CU111)</f>
        <v>112</v>
      </c>
      <c r="CV112" s="24">
        <f t="shared" si="99"/>
        <v>9.7053726169844021E-2</v>
      </c>
      <c r="CW112" s="22"/>
      <c r="CX112" s="23">
        <f>SUM(CX105:CX111)</f>
        <v>119</v>
      </c>
      <c r="CY112" s="24">
        <f t="shared" si="97"/>
        <v>0.10311958405545928</v>
      </c>
      <c r="CZ112" s="23"/>
      <c r="DA112" s="23">
        <f>SUM(DA105:DA111)</f>
        <v>138</v>
      </c>
      <c r="DB112" s="24">
        <f t="shared" si="100"/>
        <v>0.11804961505560307</v>
      </c>
      <c r="DC112" s="23"/>
      <c r="DD112" s="23">
        <f>SUM(DD105:DD111)</f>
        <v>142</v>
      </c>
      <c r="DE112" s="24">
        <f t="shared" si="101"/>
        <v>0.12147134302822926</v>
      </c>
      <c r="DF112" s="23"/>
      <c r="DG112" s="23">
        <f>SUM(DG105:DG111)</f>
        <v>142</v>
      </c>
      <c r="DH112" s="24">
        <f t="shared" si="102"/>
        <v>0.12147134302822926</v>
      </c>
    </row>
    <row r="113" spans="1:112" s="27" customFormat="1" ht="10.15" customHeight="1">
      <c r="A113" s="22"/>
      <c r="B113" s="76" t="s">
        <v>38</v>
      </c>
      <c r="C113" s="76"/>
      <c r="D113" s="76"/>
      <c r="E113" s="76"/>
      <c r="F113" s="23">
        <v>2327</v>
      </c>
      <c r="G113" s="24">
        <f>(F113/F104)</f>
        <v>0.96676360614873291</v>
      </c>
      <c r="H113" s="23"/>
      <c r="I113" s="23">
        <v>2162</v>
      </c>
      <c r="J113" s="24">
        <f>(I113/I104)</f>
        <v>0.96690518783542034</v>
      </c>
      <c r="K113" s="25"/>
      <c r="L113" s="23">
        <v>2106</v>
      </c>
      <c r="M113" s="24">
        <f>(L113/L104)</f>
        <v>0.96472743930371052</v>
      </c>
      <c r="N113" s="26"/>
      <c r="O113" s="23">
        <v>2120</v>
      </c>
      <c r="P113" s="24">
        <f>(O113/O104)</f>
        <v>0.96188747731397461</v>
      </c>
      <c r="Q113" s="26"/>
      <c r="R113" s="23">
        <v>2185</v>
      </c>
      <c r="S113" s="24">
        <f>(R113/R104)</f>
        <v>0.96043956043956047</v>
      </c>
      <c r="T113" s="26"/>
      <c r="U113" s="23">
        <v>2158</v>
      </c>
      <c r="V113" s="24">
        <f>(U113/U104)</f>
        <v>0.96124721603563479</v>
      </c>
      <c r="W113" s="26"/>
      <c r="X113" s="23">
        <f>2135+1</f>
        <v>2136</v>
      </c>
      <c r="Y113" s="24">
        <f>(X113/X104)</f>
        <v>0.96216216216216222</v>
      </c>
      <c r="Z113" s="26"/>
      <c r="AA113" s="23">
        <v>2070</v>
      </c>
      <c r="AB113" s="24">
        <f>(AA113/AA104)</f>
        <v>0.96055684454756385</v>
      </c>
      <c r="AC113" s="26"/>
      <c r="AD113" s="23">
        <v>2064</v>
      </c>
      <c r="AE113" s="24">
        <f>(AD113/AD104)</f>
        <v>0.96223776223776225</v>
      </c>
      <c r="AF113" s="26"/>
      <c r="AG113" s="23">
        <v>2069</v>
      </c>
      <c r="AH113" s="24">
        <f>(AG113/AG104)</f>
        <v>0.96187819618781967</v>
      </c>
      <c r="AI113" s="26"/>
      <c r="AJ113" s="23">
        <f>2016+11</f>
        <v>2027</v>
      </c>
      <c r="AK113" s="24">
        <f>(AJ113/AJ104)</f>
        <v>0.95478097032501175</v>
      </c>
      <c r="AL113" s="26"/>
      <c r="AM113" s="23">
        <v>1973</v>
      </c>
      <c r="AN113" s="24">
        <f>(AM113/AM104)</f>
        <v>0.95963035019455256</v>
      </c>
      <c r="AO113" s="22"/>
      <c r="AP113" s="23">
        <v>1836</v>
      </c>
      <c r="AQ113" s="24">
        <f>(AP113/AP104)</f>
        <v>0.96025104602510458</v>
      </c>
      <c r="AR113" s="22"/>
      <c r="AS113" s="23">
        <f>1872+27</f>
        <v>1899</v>
      </c>
      <c r="AT113" s="24">
        <f>(AS113/AS104)</f>
        <v>0.96054628224582705</v>
      </c>
      <c r="AU113" s="22"/>
      <c r="AV113" s="23">
        <f>1785+26</f>
        <v>1811</v>
      </c>
      <c r="AW113" s="24">
        <f>(AV113/AV104)</f>
        <v>0.96074270557029173</v>
      </c>
      <c r="AX113" s="22"/>
      <c r="AY113" s="23">
        <v>1750</v>
      </c>
      <c r="AZ113" s="24">
        <f>(AY113/AY104)</f>
        <v>0.96048298572996704</v>
      </c>
      <c r="BA113" s="22"/>
      <c r="BB113" s="23">
        <v>1718</v>
      </c>
      <c r="BC113" s="24">
        <f>(BB113/BB104)</f>
        <v>0.96300448430493268</v>
      </c>
      <c r="BD113" s="22"/>
      <c r="BE113" s="23">
        <v>1696</v>
      </c>
      <c r="BF113" s="24">
        <f>(BE113/BE104)</f>
        <v>0.95927601809954754</v>
      </c>
      <c r="BG113" s="22"/>
      <c r="BH113" s="23">
        <v>1668</v>
      </c>
      <c r="BI113" s="24">
        <f>(BH113/BH104)</f>
        <v>0.95752009184845011</v>
      </c>
      <c r="BJ113" s="22"/>
      <c r="BK113" s="23">
        <v>1602</v>
      </c>
      <c r="BL113" s="24">
        <f>(BK113/BK104)</f>
        <v>0.95756126718469814</v>
      </c>
      <c r="BM113" s="22"/>
      <c r="BN113" s="23">
        <v>1443</v>
      </c>
      <c r="BO113" s="24">
        <f>(BN113/BN104)</f>
        <v>0.95373430270984794</v>
      </c>
      <c r="BP113" s="22"/>
      <c r="BQ113" s="23">
        <v>1398</v>
      </c>
      <c r="BR113" s="24">
        <f>(BQ113/BQ104)</f>
        <v>0.95102040816326527</v>
      </c>
      <c r="BS113" s="22"/>
      <c r="BT113" s="23">
        <v>1387</v>
      </c>
      <c r="BU113" s="24">
        <f>(BT113/BT104)</f>
        <v>0.95130315500685869</v>
      </c>
      <c r="BV113" s="22"/>
      <c r="BW113" s="23">
        <v>1371</v>
      </c>
      <c r="BX113" s="24">
        <f>(BW113/BW104)</f>
        <v>0.94878892733564013</v>
      </c>
      <c r="BY113" s="22"/>
      <c r="BZ113" s="23">
        <v>1349</v>
      </c>
      <c r="CA113" s="24">
        <f>(BZ113/BZ104)</f>
        <v>0.94269741439552757</v>
      </c>
      <c r="CB113" s="22"/>
      <c r="CC113" s="23">
        <v>1324</v>
      </c>
      <c r="CD113" s="24">
        <f>(CC113/CC104)</f>
        <v>0.94167852062588908</v>
      </c>
      <c r="CE113" s="22"/>
      <c r="CF113" s="23">
        <v>1294</v>
      </c>
      <c r="CG113" s="24">
        <f>(CF113/CF104)</f>
        <v>0.93972403776325342</v>
      </c>
      <c r="CH113" s="22"/>
      <c r="CI113" s="23">
        <v>1239</v>
      </c>
      <c r="CJ113" s="24">
        <f>CI113/CI104</f>
        <v>0.9287856071964018</v>
      </c>
      <c r="CK113" s="22"/>
      <c r="CL113" s="23">
        <v>1211</v>
      </c>
      <c r="CM113" s="24">
        <f t="shared" si="98"/>
        <v>0.91811978771796821</v>
      </c>
      <c r="CN113" s="22"/>
      <c r="CO113" s="83">
        <v>1211</v>
      </c>
      <c r="CP113" s="24">
        <f t="shared" si="95"/>
        <v>0.91396226415094339</v>
      </c>
      <c r="CQ113" s="22"/>
      <c r="CR113" s="23">
        <v>1218</v>
      </c>
      <c r="CS113" s="24">
        <f t="shared" si="96"/>
        <v>0.91031390134529144</v>
      </c>
      <c r="CT113" s="22"/>
      <c r="CU113" s="23">
        <v>1036</v>
      </c>
      <c r="CV113" s="24">
        <f t="shared" si="99"/>
        <v>0.89774696707105717</v>
      </c>
      <c r="CW113" s="22"/>
      <c r="CX113" s="23">
        <v>1032</v>
      </c>
      <c r="CY113" s="24">
        <f t="shared" si="97"/>
        <v>0.89428076256499134</v>
      </c>
      <c r="CZ113" s="23"/>
      <c r="DA113" s="23">
        <v>1030</v>
      </c>
      <c r="DB113" s="24">
        <f t="shared" si="100"/>
        <v>0.88109495295124041</v>
      </c>
      <c r="DC113" s="23"/>
      <c r="DD113" s="23">
        <v>992</v>
      </c>
      <c r="DE113" s="24">
        <f t="shared" si="101"/>
        <v>0.84858853721129168</v>
      </c>
      <c r="DF113" s="23"/>
      <c r="DG113" s="23">
        <v>976</v>
      </c>
      <c r="DH113" s="24">
        <f t="shared" si="102"/>
        <v>0.83490162532078704</v>
      </c>
    </row>
    <row r="114" spans="1:112" s="33" customFormat="1" ht="10.15" customHeight="1">
      <c r="A114" s="92"/>
      <c r="B114" s="126" t="s">
        <v>58</v>
      </c>
      <c r="C114" s="126"/>
      <c r="D114" s="126"/>
      <c r="E114" s="126"/>
      <c r="F114" s="93"/>
      <c r="G114" s="94"/>
      <c r="H114" s="93"/>
      <c r="I114" s="93"/>
      <c r="J114" s="94"/>
      <c r="K114" s="95"/>
      <c r="L114" s="93"/>
      <c r="M114" s="94"/>
      <c r="N114" s="96"/>
      <c r="O114" s="93"/>
      <c r="P114" s="94"/>
      <c r="Q114" s="96"/>
      <c r="R114" s="93"/>
      <c r="S114" s="94"/>
      <c r="T114" s="96"/>
      <c r="U114" s="93"/>
      <c r="V114" s="94"/>
      <c r="W114" s="96"/>
      <c r="X114" s="93"/>
      <c r="Y114" s="94"/>
      <c r="Z114" s="96"/>
      <c r="AA114" s="93"/>
      <c r="AB114" s="94"/>
      <c r="AC114" s="96"/>
      <c r="AD114" s="93"/>
      <c r="AE114" s="94"/>
      <c r="AF114" s="96"/>
      <c r="AG114" s="93"/>
      <c r="AH114" s="94"/>
      <c r="AI114" s="96"/>
      <c r="AJ114" s="93"/>
      <c r="AK114" s="94"/>
      <c r="AL114" s="96"/>
      <c r="AM114" s="93"/>
      <c r="AN114" s="94"/>
      <c r="AO114" s="92"/>
      <c r="AP114" s="93"/>
      <c r="AQ114" s="94"/>
      <c r="AR114" s="92"/>
      <c r="AS114" s="93"/>
      <c r="AT114" s="94"/>
      <c r="AU114" s="92"/>
      <c r="AV114" s="93"/>
      <c r="AW114" s="94"/>
      <c r="AX114" s="92"/>
      <c r="AY114" s="93"/>
      <c r="AZ114" s="94"/>
      <c r="BA114" s="92"/>
      <c r="BB114" s="93"/>
      <c r="BC114" s="94"/>
      <c r="BD114" s="92"/>
      <c r="BE114" s="93"/>
      <c r="BF114" s="94"/>
      <c r="BG114" s="92"/>
      <c r="BH114" s="93"/>
      <c r="BI114" s="94"/>
      <c r="BJ114" s="92"/>
      <c r="BK114" s="93"/>
      <c r="BL114" s="94"/>
      <c r="BM114" s="92"/>
      <c r="BN114" s="93"/>
      <c r="BO114" s="94"/>
      <c r="BP114" s="92"/>
      <c r="BQ114" s="93"/>
      <c r="BR114" s="94"/>
      <c r="BS114" s="92"/>
      <c r="BT114" s="93"/>
      <c r="BU114" s="94"/>
      <c r="BV114" s="92"/>
      <c r="BW114" s="93"/>
      <c r="BX114" s="94"/>
      <c r="BY114" s="92"/>
      <c r="BZ114" s="93"/>
      <c r="CA114" s="94"/>
      <c r="CB114" s="92"/>
      <c r="CC114" s="97" t="s">
        <v>59</v>
      </c>
      <c r="CD114" s="97" t="s">
        <v>60</v>
      </c>
      <c r="CE114" s="92"/>
      <c r="CF114" s="97" t="s">
        <v>59</v>
      </c>
      <c r="CG114" s="97" t="s">
        <v>61</v>
      </c>
      <c r="CH114" s="92"/>
      <c r="CI114" s="97" t="s">
        <v>59</v>
      </c>
      <c r="CJ114" s="97" t="s">
        <v>62</v>
      </c>
      <c r="CK114" s="92"/>
      <c r="CL114" s="97" t="s">
        <v>59</v>
      </c>
      <c r="CM114" s="97" t="s">
        <v>63</v>
      </c>
      <c r="CN114" s="92"/>
      <c r="CO114" s="105">
        <v>4</v>
      </c>
      <c r="CP114" s="94">
        <f t="shared" si="95"/>
        <v>3.0188679245283017E-3</v>
      </c>
      <c r="CQ114" s="92"/>
      <c r="CR114" s="93">
        <v>11</v>
      </c>
      <c r="CS114" s="94">
        <f t="shared" si="96"/>
        <v>8.2212257100149483E-3</v>
      </c>
      <c r="CT114" s="92"/>
      <c r="CU114" s="93">
        <v>1</v>
      </c>
      <c r="CV114" s="94">
        <f t="shared" si="99"/>
        <v>8.6655112651646442E-4</v>
      </c>
      <c r="CW114" s="92"/>
      <c r="CX114" s="93">
        <v>3</v>
      </c>
      <c r="CY114" s="94">
        <f t="shared" si="97"/>
        <v>2.5996533795493936E-3</v>
      </c>
      <c r="CZ114" s="93"/>
      <c r="DA114" s="93">
        <v>1</v>
      </c>
      <c r="DB114" s="113">
        <f t="shared" si="100"/>
        <v>8.5543199315654401E-4</v>
      </c>
      <c r="DC114" s="93"/>
      <c r="DD114" s="93">
        <v>3</v>
      </c>
      <c r="DE114" s="113">
        <f t="shared" si="101"/>
        <v>2.5662959794696323E-3</v>
      </c>
      <c r="DF114" s="93"/>
      <c r="DG114" s="93"/>
      <c r="DH114" s="113">
        <f t="shared" si="102"/>
        <v>0</v>
      </c>
    </row>
    <row r="115" spans="1:112" s="44" customFormat="1" ht="13.5" customHeight="1">
      <c r="A115" s="127" t="s">
        <v>86</v>
      </c>
      <c r="B115" s="127"/>
      <c r="C115" s="127"/>
      <c r="D115" s="127"/>
      <c r="E115" s="127"/>
      <c r="F115" s="56">
        <f>SUM(F123:F124)</f>
        <v>5899</v>
      </c>
      <c r="G115" s="57"/>
      <c r="H115" s="56"/>
      <c r="I115" s="56">
        <f>SUM(I123:I124)</f>
        <v>5705</v>
      </c>
      <c r="J115" s="57"/>
      <c r="K115" s="58"/>
      <c r="L115" s="56">
        <f>SUM(L123:L124)</f>
        <v>5646</v>
      </c>
      <c r="M115" s="57"/>
      <c r="N115" s="59"/>
      <c r="O115" s="56">
        <f>SUM(O123:O124)</f>
        <v>5746</v>
      </c>
      <c r="P115" s="57"/>
      <c r="Q115" s="59"/>
      <c r="R115" s="56">
        <f>SUM(R123:R124)</f>
        <v>5947</v>
      </c>
      <c r="S115" s="57"/>
      <c r="T115" s="59"/>
      <c r="U115" s="56">
        <f>SUM(U123:U124)</f>
        <v>6102</v>
      </c>
      <c r="V115" s="57"/>
      <c r="W115" s="59"/>
      <c r="X115" s="56">
        <f>SUM(X123:X124)</f>
        <v>6087</v>
      </c>
      <c r="Y115" s="57"/>
      <c r="Z115" s="59"/>
      <c r="AA115" s="56">
        <f>SUM(AA123:AA124)</f>
        <v>6058</v>
      </c>
      <c r="AB115" s="57"/>
      <c r="AC115" s="59"/>
      <c r="AD115" s="56">
        <f>SUM(AD123:AD124)</f>
        <v>6157</v>
      </c>
      <c r="AE115" s="57"/>
      <c r="AF115" s="59"/>
      <c r="AG115" s="56">
        <f>SUM(AG123:AG124)</f>
        <v>6202</v>
      </c>
      <c r="AH115" s="57"/>
      <c r="AI115" s="59"/>
      <c r="AJ115" s="56">
        <f>SUM(AJ123:AJ124)</f>
        <v>6214</v>
      </c>
      <c r="AK115" s="57"/>
      <c r="AL115" s="59"/>
      <c r="AM115" s="56">
        <f>SUM(AM123:AM124)</f>
        <v>6157</v>
      </c>
      <c r="AN115" s="57"/>
      <c r="AP115" s="56">
        <f>SUM(AP123:AP124)</f>
        <v>5940</v>
      </c>
      <c r="AQ115" s="57"/>
      <c r="AS115" s="56">
        <f>SUM(AS123:AS124)</f>
        <v>6163</v>
      </c>
      <c r="AT115" s="57"/>
      <c r="AV115" s="56">
        <f>SUM(AV123:AV124)</f>
        <v>6075</v>
      </c>
      <c r="AW115" s="57"/>
      <c r="AY115" s="56">
        <f>SUM(AY123:AY124)</f>
        <v>6040</v>
      </c>
      <c r="AZ115" s="57"/>
      <c r="BB115" s="56">
        <f>SUM(BB123:BB124)</f>
        <v>6056</v>
      </c>
      <c r="BC115" s="57"/>
      <c r="BE115" s="56">
        <f>SUM(BE123:BE124)</f>
        <v>6083</v>
      </c>
      <c r="BF115" s="57"/>
      <c r="BH115" s="56">
        <f>SUM(BH123:BH124)</f>
        <v>6168</v>
      </c>
      <c r="BI115" s="57"/>
      <c r="BK115" s="56">
        <f>SUM(BK123:BK124)</f>
        <v>6121</v>
      </c>
      <c r="BL115" s="57"/>
      <c r="BN115" s="56">
        <f>SUM(BN123:BN124)</f>
        <v>5792</v>
      </c>
      <c r="BO115" s="57"/>
      <c r="BQ115" s="56">
        <f>SUM(BQ123:BQ124)</f>
        <v>5855</v>
      </c>
      <c r="BR115" s="57"/>
      <c r="BT115" s="56">
        <f>SUM(BT123:BT124)</f>
        <v>6003</v>
      </c>
      <c r="BU115" s="57"/>
      <c r="BW115" s="63">
        <f>SUM(BW123:BW124)</f>
        <v>6117</v>
      </c>
      <c r="BX115" s="64"/>
      <c r="BY115" s="65"/>
      <c r="BZ115" s="63">
        <f>SUM(BZ123:BZ124)</f>
        <v>6219</v>
      </c>
      <c r="CA115" s="64"/>
      <c r="CB115" s="65"/>
      <c r="CC115" s="63">
        <f>SUM(CC123:CC124)</f>
        <v>6388</v>
      </c>
      <c r="CD115" s="64"/>
      <c r="CE115" s="65"/>
      <c r="CF115" s="63">
        <f>SUM(CF123:CF124)</f>
        <v>6459</v>
      </c>
      <c r="CG115" s="64"/>
      <c r="CH115" s="65"/>
      <c r="CI115" s="63">
        <f>SUM(CI124,CI116:CI121)</f>
        <v>6505</v>
      </c>
      <c r="CJ115" s="57"/>
      <c r="CK115" s="65"/>
      <c r="CL115" s="63">
        <f>CL124+CL121+CL120+CL119+CL118+CL117+CL116</f>
        <v>6480</v>
      </c>
      <c r="CM115" s="57"/>
      <c r="CN115" s="65"/>
      <c r="CO115" s="85">
        <f>CO124+CO121+CO120+CO119+CO118+CO117+CO116+CO125</f>
        <v>6379</v>
      </c>
      <c r="CP115" s="57"/>
      <c r="CQ115" s="65"/>
      <c r="CR115" s="63">
        <f>CR123+CR124+CR125</f>
        <v>6581</v>
      </c>
      <c r="CS115" s="57"/>
      <c r="CT115" s="65"/>
      <c r="CU115" s="63">
        <f>CU123+CU124+CU125</f>
        <v>6338</v>
      </c>
      <c r="CV115" s="57"/>
      <c r="CW115" s="65"/>
      <c r="CX115" s="63">
        <f>CX123+CX124+CX125</f>
        <v>6505</v>
      </c>
      <c r="CY115" s="57"/>
      <c r="CZ115" s="63"/>
      <c r="DA115" s="63">
        <f>DA123+DA124+DA125</f>
        <v>6694</v>
      </c>
      <c r="DB115" s="57"/>
      <c r="DC115" s="63"/>
      <c r="DD115" s="63">
        <f>DD123+DD124+DD125</f>
        <v>6720</v>
      </c>
      <c r="DE115" s="57"/>
      <c r="DF115" s="63"/>
      <c r="DG115" s="63">
        <f>DG123+DG124+DG125</f>
        <v>6680</v>
      </c>
      <c r="DH115" s="57"/>
    </row>
    <row r="116" spans="1:112" s="27" customFormat="1" ht="10.15" customHeight="1">
      <c r="B116" s="118" t="s">
        <v>55</v>
      </c>
      <c r="C116" s="118"/>
      <c r="D116" s="118"/>
      <c r="E116" s="118"/>
      <c r="F116" s="34">
        <f t="shared" ref="F116:F121" si="103">(F53+F65+F83+F94+F105)</f>
        <v>79</v>
      </c>
      <c r="G116" s="35">
        <f>(F116/F115)</f>
        <v>1.3392100355992542E-2</v>
      </c>
      <c r="H116" s="34"/>
      <c r="I116" s="34">
        <f t="shared" ref="I116:I121" si="104">(I53+I65+I83+I94+I105)</f>
        <v>88</v>
      </c>
      <c r="J116" s="35">
        <f>(I116/I115)</f>
        <v>1.5425065731814198E-2</v>
      </c>
      <c r="K116" s="36"/>
      <c r="L116" s="34">
        <f t="shared" ref="L116:L121" si="105">(L53+L65+L83+L94+L105)</f>
        <v>87</v>
      </c>
      <c r="M116" s="35">
        <f>(L116/L115)</f>
        <v>1.5409139213602551E-2</v>
      </c>
      <c r="N116" s="37"/>
      <c r="O116" s="34">
        <f t="shared" ref="O116:O121" si="106">(O53+O65+O83+O94+O105)</f>
        <v>99</v>
      </c>
      <c r="P116" s="35">
        <f>(O116/O115)</f>
        <v>1.7229376957883746E-2</v>
      </c>
      <c r="Q116" s="37"/>
      <c r="R116" s="34">
        <f t="shared" ref="R116:R121" si="107">(R53+R65+R83+R94+R105)</f>
        <v>104</v>
      </c>
      <c r="S116" s="35">
        <f>(R116/R115)</f>
        <v>1.7487808979317301E-2</v>
      </c>
      <c r="T116" s="37"/>
      <c r="U116" s="34">
        <f t="shared" ref="U116:U121" si="108">(U53+U65+U83+U94+U105)</f>
        <v>90</v>
      </c>
      <c r="V116" s="35">
        <f>(U116/U115)</f>
        <v>1.4749262536873156E-2</v>
      </c>
      <c r="W116" s="37"/>
      <c r="X116" s="34">
        <f t="shared" ref="X116:X121" si="109">(X53+X65+X83+X94+X105)</f>
        <v>99</v>
      </c>
      <c r="Y116" s="35">
        <f>(X116/X115)</f>
        <v>1.6264169541646133E-2</v>
      </c>
      <c r="Z116" s="37"/>
      <c r="AA116" s="34">
        <f t="shared" ref="AA116:AA121" si="110">(AA53+AA65+AA83+AA94+AA105)</f>
        <v>104</v>
      </c>
      <c r="AB116" s="35">
        <f>(AA116/AA115)</f>
        <v>1.7167381974248927E-2</v>
      </c>
      <c r="AC116" s="37"/>
      <c r="AD116" s="34">
        <f t="shared" ref="AD116:AD121" si="111">(AD53+AD65+AD83+AD94+AD105)</f>
        <v>104</v>
      </c>
      <c r="AE116" s="35">
        <f>(AD116/AD115)</f>
        <v>1.689134318661686E-2</v>
      </c>
      <c r="AF116" s="37"/>
      <c r="AG116" s="34">
        <f t="shared" ref="AG116:AG121" si="112">(AG53+AG65+AG83+AG94+AG105)</f>
        <v>115</v>
      </c>
      <c r="AH116" s="35">
        <f>(AG116/AG115)</f>
        <v>1.8542405675588521E-2</v>
      </c>
      <c r="AI116" s="37"/>
      <c r="AJ116" s="34">
        <f t="shared" ref="AJ116:AJ121" si="113">(AJ53+AJ65+AJ83+AJ94+AJ105)</f>
        <v>122</v>
      </c>
      <c r="AK116" s="35">
        <f>(AJ116/AJ115)</f>
        <v>1.9633086578693275E-2</v>
      </c>
      <c r="AL116" s="37"/>
      <c r="AM116" s="34">
        <f t="shared" ref="AM116:AM121" si="114">(AM53+AM65+AM83+AM94+AM105)</f>
        <v>120</v>
      </c>
      <c r="AN116" s="35">
        <f>(AM116/AM115)</f>
        <v>1.9490011369173298E-2</v>
      </c>
      <c r="AP116" s="34">
        <f t="shared" ref="AP116:AP121" si="115">(AP53+AP65+AP83+AP94+AP105)</f>
        <v>112</v>
      </c>
      <c r="AQ116" s="35">
        <f>(AP116/AP115)</f>
        <v>1.8855218855218854E-2</v>
      </c>
      <c r="AS116" s="34">
        <f t="shared" ref="AS116:AS121" si="116">(AS53+AS65+AS83+AS94+AS105)</f>
        <v>115</v>
      </c>
      <c r="AT116" s="35">
        <f>(AS116/AS115)</f>
        <v>1.8659743631348369E-2</v>
      </c>
      <c r="AV116" s="34">
        <f t="shared" ref="AV116:AV121" si="117">(AV53+AV65+AV83+AV94+AV105)</f>
        <v>110</v>
      </c>
      <c r="AW116" s="35">
        <f>(AV116/AV115)</f>
        <v>1.8106995884773661E-2</v>
      </c>
      <c r="AY116" s="34">
        <f t="shared" ref="AY116:AY121" si="118">(AY53+AY65+AY83+AY94+AY105)</f>
        <v>102</v>
      </c>
      <c r="AZ116" s="35">
        <f>(AY116/AY115)</f>
        <v>1.6887417218543047E-2</v>
      </c>
      <c r="BB116" s="34">
        <f t="shared" ref="BB116:BB121" si="119">(BB53+BB65+BB83+BB94+BB105)</f>
        <v>107</v>
      </c>
      <c r="BC116" s="35">
        <f>(BB116/BB115)</f>
        <v>1.7668428005284016E-2</v>
      </c>
      <c r="BE116" s="34">
        <f t="shared" ref="BE116:BE121" si="120">(BE53+BE65+BE83+BE94+BE105)</f>
        <v>109</v>
      </c>
      <c r="BF116" s="35">
        <f>(BE116/BE115)</f>
        <v>1.7918790070688806E-2</v>
      </c>
      <c r="BH116" s="34">
        <f t="shared" ref="BH116:BH121" si="121">(BH53+BH65+BH83+BH94+BH105)</f>
        <v>111</v>
      </c>
      <c r="BI116" s="35">
        <f>(BH116/BH115)</f>
        <v>1.7996108949416341E-2</v>
      </c>
      <c r="BK116" s="34">
        <f t="shared" ref="BK116:BK121" si="122">(BK53+BK65+BK83+BK94+BK105)</f>
        <v>106</v>
      </c>
      <c r="BL116" s="35">
        <f>(BK116/BK115)</f>
        <v>1.7317431792190818E-2</v>
      </c>
      <c r="BN116" s="34">
        <f t="shared" ref="BN116:BN121" si="123">(BN53+BN65+BN83+BN94+BN105)</f>
        <v>106</v>
      </c>
      <c r="BO116" s="35">
        <f>(BN116/BN115)</f>
        <v>1.8301104972375689E-2</v>
      </c>
      <c r="BQ116" s="34">
        <f t="shared" ref="BQ116:BQ121" si="124">(BQ53+BQ65+BQ83+BQ94+BQ105)</f>
        <v>109</v>
      </c>
      <c r="BR116" s="35">
        <f>(BQ116/BQ115)</f>
        <v>1.8616567036720752E-2</v>
      </c>
      <c r="BT116" s="34">
        <f t="shared" ref="BT116:BT121" si="125">(BT53+BT65+BT83+BT94+BT105)</f>
        <v>115</v>
      </c>
      <c r="BU116" s="35">
        <f>(BT116/BT115)</f>
        <v>1.9157088122605363E-2</v>
      </c>
      <c r="BW116" s="34">
        <f t="shared" ref="BW116:BW121" si="126">(BW53+BW65+BW83+BW94+BW105)</f>
        <v>124</v>
      </c>
      <c r="BX116" s="35">
        <f>(BW116/BW115)</f>
        <v>2.0271374856956025E-2</v>
      </c>
      <c r="BZ116" s="34">
        <f t="shared" ref="BZ116:BZ121" si="127">(BZ53+BZ65+BZ83+BZ94+BZ105)</f>
        <v>139</v>
      </c>
      <c r="CA116" s="35">
        <f>(BZ116/BZ115)</f>
        <v>2.2350860266923941E-2</v>
      </c>
      <c r="CC116" s="34">
        <f t="shared" ref="CC116:CC121" si="128">(CC53+CC65+CC83+CC94+CC105)</f>
        <v>142</v>
      </c>
      <c r="CD116" s="35">
        <f>(CC116/CC115)</f>
        <v>2.2229179711959923E-2</v>
      </c>
      <c r="CF116" s="34">
        <f t="shared" ref="CF116:CF121" si="129">(CF53+CF65+CF83+CF94+CF105)</f>
        <v>147</v>
      </c>
      <c r="CG116" s="35">
        <f>(CF116/CF115)</f>
        <v>2.275894101254064E-2</v>
      </c>
      <c r="CI116" s="34">
        <f t="shared" ref="CI116:CI121" si="130">CI105+CI94+CI83+CI65+CI53</f>
        <v>157</v>
      </c>
      <c r="CJ116" s="35">
        <f>CI116/CI115</f>
        <v>2.4135280553420447E-2</v>
      </c>
      <c r="CL116" s="34">
        <f t="shared" ref="CL116:CL121" si="131">CL105+CL94+CL83+CL65+CL53</f>
        <v>162</v>
      </c>
      <c r="CM116" s="35">
        <f>CL116/6486</f>
        <v>2.4976873265494911E-2</v>
      </c>
      <c r="CO116" s="86">
        <f>CO105+CO94+CO83+CO65+CO53</f>
        <v>146</v>
      </c>
      <c r="CP116" s="35">
        <f t="shared" ref="CP116:CP125" si="132">CO116/$CO$115</f>
        <v>2.2887599937294247E-2</v>
      </c>
      <c r="CR116" s="34">
        <f>CR105+CR94+CR83+CR65+CR53</f>
        <v>146</v>
      </c>
      <c r="CS116" s="35">
        <f t="shared" ref="CS116:CS125" si="133">CR116/$CR$115</f>
        <v>2.2185078255584259E-2</v>
      </c>
      <c r="CU116" s="34">
        <f>CU105+CU94+CU83+CU65+CU53</f>
        <v>132</v>
      </c>
      <c r="CV116" s="35">
        <f>CU116/$CX$115</f>
        <v>2.0292083013066873E-2</v>
      </c>
      <c r="CX116" s="34">
        <f>CX105+CX94+CX83+CX65+CX53</f>
        <v>138</v>
      </c>
      <c r="CY116" s="35">
        <f t="shared" ref="CY116:CY125" si="134">CX116/$CX$115</f>
        <v>2.1214450422751729E-2</v>
      </c>
      <c r="CZ116" s="34"/>
      <c r="DA116" s="34">
        <f>DA105+DA94+DA83+DA65+DA53</f>
        <v>143</v>
      </c>
      <c r="DB116" s="35">
        <f>DA116/$DA$115</f>
        <v>2.1362414102181058E-2</v>
      </c>
      <c r="DC116" s="34"/>
      <c r="DD116" s="34">
        <f>DD105+DD94+DD83+DD65+DD53</f>
        <v>149</v>
      </c>
      <c r="DE116" s="35">
        <f>DD116/$DA$115</f>
        <v>2.2258739169405437E-2</v>
      </c>
      <c r="DF116" s="34"/>
      <c r="DG116" s="34">
        <f>DG105+DG94+DG83+DG65+DG53</f>
        <v>125</v>
      </c>
      <c r="DH116" s="35">
        <f>DG116/$DA$115</f>
        <v>1.8673438900507919E-2</v>
      </c>
    </row>
    <row r="117" spans="1:112" s="27" customFormat="1" ht="10.15" customHeight="1">
      <c r="B117" s="118" t="s">
        <v>9</v>
      </c>
      <c r="C117" s="118"/>
      <c r="D117" s="118"/>
      <c r="E117" s="118"/>
      <c r="F117" s="34">
        <f t="shared" si="103"/>
        <v>12</v>
      </c>
      <c r="G117" s="35">
        <f>(F117/F115)</f>
        <v>2.0342430920494998E-3</v>
      </c>
      <c r="H117" s="34"/>
      <c r="I117" s="34">
        <f t="shared" si="104"/>
        <v>13</v>
      </c>
      <c r="J117" s="35">
        <f>(I117/I115)</f>
        <v>2.2787028921998245E-3</v>
      </c>
      <c r="K117" s="36"/>
      <c r="L117" s="34">
        <f t="shared" si="105"/>
        <v>14</v>
      </c>
      <c r="M117" s="35">
        <f>(L117/L115)</f>
        <v>2.4796315975912152E-3</v>
      </c>
      <c r="N117" s="37"/>
      <c r="O117" s="34">
        <f t="shared" si="106"/>
        <v>16</v>
      </c>
      <c r="P117" s="35">
        <f>(O117/O115)</f>
        <v>2.7845457709711106E-3</v>
      </c>
      <c r="Q117" s="37"/>
      <c r="R117" s="34">
        <f t="shared" si="107"/>
        <v>18</v>
      </c>
      <c r="S117" s="35">
        <f>(R117/R115)</f>
        <v>3.0267361694972256E-3</v>
      </c>
      <c r="T117" s="37"/>
      <c r="U117" s="34">
        <f t="shared" si="108"/>
        <v>17</v>
      </c>
      <c r="V117" s="35">
        <f>(U117/U115)</f>
        <v>2.7859718125204853E-3</v>
      </c>
      <c r="W117" s="37"/>
      <c r="X117" s="34">
        <f t="shared" si="109"/>
        <v>18</v>
      </c>
      <c r="Y117" s="35">
        <f>(X117/X115)</f>
        <v>2.9571217348447511E-3</v>
      </c>
      <c r="Z117" s="37"/>
      <c r="AA117" s="34">
        <f t="shared" si="110"/>
        <v>22</v>
      </c>
      <c r="AB117" s="35">
        <f>(AA117/AA115)</f>
        <v>3.6315615714757345E-3</v>
      </c>
      <c r="AC117" s="37"/>
      <c r="AD117" s="34">
        <f t="shared" si="111"/>
        <v>25</v>
      </c>
      <c r="AE117" s="35">
        <f>(AD117/AD115)</f>
        <v>4.0604190352444376E-3</v>
      </c>
      <c r="AF117" s="37"/>
      <c r="AG117" s="34">
        <f t="shared" si="112"/>
        <v>26</v>
      </c>
      <c r="AH117" s="35">
        <f>(AG117/AG115)</f>
        <v>4.1921960657852302E-3</v>
      </c>
      <c r="AI117" s="37"/>
      <c r="AJ117" s="34">
        <f t="shared" si="113"/>
        <v>26</v>
      </c>
      <c r="AK117" s="35">
        <f>(AJ117/AJ115)</f>
        <v>4.1841004184100415E-3</v>
      </c>
      <c r="AL117" s="37"/>
      <c r="AM117" s="34">
        <f t="shared" si="114"/>
        <v>26</v>
      </c>
      <c r="AN117" s="35">
        <f>(AM117/AM115)</f>
        <v>4.2228357966542151E-3</v>
      </c>
      <c r="AP117" s="34">
        <f t="shared" si="115"/>
        <v>25</v>
      </c>
      <c r="AQ117" s="35">
        <f>(AP117/AP115)</f>
        <v>4.2087542087542087E-3</v>
      </c>
      <c r="AS117" s="34">
        <f t="shared" si="116"/>
        <v>24</v>
      </c>
      <c r="AT117" s="35">
        <f>(AS117/AS115)</f>
        <v>3.8942073665422685E-3</v>
      </c>
      <c r="AV117" s="34">
        <f t="shared" si="117"/>
        <v>22</v>
      </c>
      <c r="AW117" s="35">
        <f>(AV117/AV115)</f>
        <v>3.6213991769547325E-3</v>
      </c>
      <c r="AY117" s="34">
        <f t="shared" si="118"/>
        <v>18</v>
      </c>
      <c r="AZ117" s="35">
        <f>(AY117/AY115)</f>
        <v>2.980132450331126E-3</v>
      </c>
      <c r="BB117" s="34">
        <f t="shared" si="119"/>
        <v>22</v>
      </c>
      <c r="BC117" s="35">
        <f>(BB117/BB115)</f>
        <v>3.6327608982826948E-3</v>
      </c>
      <c r="BE117" s="34">
        <f t="shared" si="120"/>
        <v>20</v>
      </c>
      <c r="BF117" s="35">
        <f>(BE117/BE115)</f>
        <v>3.287851389117212E-3</v>
      </c>
      <c r="BH117" s="34">
        <f t="shared" si="121"/>
        <v>18</v>
      </c>
      <c r="BI117" s="35">
        <f>(BH117/BH115)</f>
        <v>2.9182879377431907E-3</v>
      </c>
      <c r="BK117" s="34">
        <f t="shared" si="122"/>
        <v>16</v>
      </c>
      <c r="BL117" s="35">
        <f>(BK117/BK115)</f>
        <v>2.6139519686325763E-3</v>
      </c>
      <c r="BN117" s="34">
        <f t="shared" si="123"/>
        <v>14</v>
      </c>
      <c r="BO117" s="35">
        <f>(BN117/BN115)</f>
        <v>2.4171270718232043E-3</v>
      </c>
      <c r="BQ117" s="34">
        <f t="shared" si="124"/>
        <v>15</v>
      </c>
      <c r="BR117" s="35">
        <f>(BQ117/BQ115)</f>
        <v>2.5619128949615714E-3</v>
      </c>
      <c r="BT117" s="34">
        <f t="shared" si="125"/>
        <v>17</v>
      </c>
      <c r="BU117" s="35">
        <f>(BT117/BT115)</f>
        <v>2.8319173746460102E-3</v>
      </c>
      <c r="BW117" s="34">
        <f t="shared" si="126"/>
        <v>13</v>
      </c>
      <c r="BX117" s="35">
        <f>(BW117/BW115)</f>
        <v>2.125224783390551E-3</v>
      </c>
      <c r="BZ117" s="34">
        <f t="shared" si="127"/>
        <v>18</v>
      </c>
      <c r="CA117" s="35">
        <f>(BZ117/BZ115)</f>
        <v>2.8943560057887118E-3</v>
      </c>
      <c r="CC117" s="34">
        <f t="shared" si="128"/>
        <v>14</v>
      </c>
      <c r="CD117" s="35">
        <f>(CC117/CC115)</f>
        <v>2.1916092673763305E-3</v>
      </c>
      <c r="CF117" s="34">
        <f t="shared" si="129"/>
        <v>16</v>
      </c>
      <c r="CG117" s="35">
        <f>(CF117/CF115)</f>
        <v>2.477163647623471E-3</v>
      </c>
      <c r="CI117" s="34">
        <f t="shared" si="130"/>
        <v>17</v>
      </c>
      <c r="CJ117" s="35">
        <f>CI117/CI115</f>
        <v>2.6133743274404306E-3</v>
      </c>
      <c r="CL117" s="34">
        <f t="shared" si="131"/>
        <v>15</v>
      </c>
      <c r="CM117" s="35">
        <f t="shared" ref="CM117:CM124" si="135">CL117/6486</f>
        <v>2.3126734505087882E-3</v>
      </c>
      <c r="CO117" s="86">
        <f t="shared" ref="CO117:CO123" si="136">CO106+CO95+CO84+CO66+CO54</f>
        <v>17</v>
      </c>
      <c r="CP117" s="35">
        <f t="shared" si="132"/>
        <v>2.6649945132465906E-3</v>
      </c>
      <c r="CR117" s="34">
        <f t="shared" ref="CR117:CR122" si="137">CR106+CR95+CR84+CR66+CR54</f>
        <v>20</v>
      </c>
      <c r="CS117" s="35">
        <f t="shared" si="133"/>
        <v>3.0390518158334599E-3</v>
      </c>
      <c r="CU117" s="34">
        <f t="shared" ref="CU117:CU122" si="138">CU106+CU95+CU84+CU66+CU54</f>
        <v>15</v>
      </c>
      <c r="CV117" s="35">
        <f t="shared" ref="CV117:CV125" si="139">CU117/$CX$115</f>
        <v>2.3059185242121443E-3</v>
      </c>
      <c r="CX117" s="34">
        <f t="shared" ref="CX117:CX122" si="140">CX106+CX95+CX84+CX66+CX54</f>
        <v>17</v>
      </c>
      <c r="CY117" s="35">
        <f t="shared" si="134"/>
        <v>2.6133743274404306E-3</v>
      </c>
      <c r="CZ117" s="34"/>
      <c r="DA117" s="34">
        <f t="shared" ref="DA117:DA122" si="141">DA106+DA95+DA84+DA66+DA54</f>
        <v>12</v>
      </c>
      <c r="DB117" s="35">
        <f t="shared" ref="DB117:DB125" si="142">DA117/$DA$115</f>
        <v>1.7926501344487601E-3</v>
      </c>
      <c r="DC117" s="34"/>
      <c r="DD117" s="34">
        <f t="shared" ref="DD117:DD122" si="143">DD106+DD95+DD84+DD66+DD54</f>
        <v>13</v>
      </c>
      <c r="DE117" s="35">
        <f t="shared" ref="DE117:DE125" si="144">DD117/$DA$115</f>
        <v>1.9420376456528235E-3</v>
      </c>
      <c r="DF117" s="34"/>
      <c r="DG117" s="34">
        <f t="shared" ref="DG117:DG122" si="145">DG106+DG95+DG84+DG66+DG54</f>
        <v>11</v>
      </c>
      <c r="DH117" s="35">
        <f t="shared" ref="DH117:DH125" si="146">DG117/$DA$115</f>
        <v>1.6432626232446967E-3</v>
      </c>
    </row>
    <row r="118" spans="1:112" s="27" customFormat="1" ht="10.15" customHeight="1">
      <c r="B118" s="118" t="s">
        <v>32</v>
      </c>
      <c r="C118" s="118"/>
      <c r="D118" s="118"/>
      <c r="E118" s="118"/>
      <c r="F118" s="34">
        <f t="shared" si="103"/>
        <v>192</v>
      </c>
      <c r="G118" s="35">
        <f>(F118/F115)</f>
        <v>3.2547889472791997E-2</v>
      </c>
      <c r="H118" s="34"/>
      <c r="I118" s="34">
        <f t="shared" si="104"/>
        <v>196</v>
      </c>
      <c r="J118" s="35">
        <f>(I118/I115)</f>
        <v>3.4355828220858899E-2</v>
      </c>
      <c r="K118" s="36"/>
      <c r="L118" s="34">
        <f t="shared" si="105"/>
        <v>213</v>
      </c>
      <c r="M118" s="35">
        <f>(L118/L115)</f>
        <v>3.7725823591923488E-2</v>
      </c>
      <c r="N118" s="37"/>
      <c r="O118" s="34">
        <f t="shared" si="106"/>
        <v>213</v>
      </c>
      <c r="P118" s="35">
        <f>(O118/O115)</f>
        <v>3.7069265576052904E-2</v>
      </c>
      <c r="Q118" s="37"/>
      <c r="R118" s="34">
        <f t="shared" si="107"/>
        <v>223</v>
      </c>
      <c r="S118" s="35">
        <f>(R118/R115)</f>
        <v>3.7497898099882292E-2</v>
      </c>
      <c r="T118" s="37"/>
      <c r="U118" s="34">
        <f t="shared" si="108"/>
        <v>240</v>
      </c>
      <c r="V118" s="35">
        <f>(U118/U115)</f>
        <v>3.9331366764995081E-2</v>
      </c>
      <c r="W118" s="37"/>
      <c r="X118" s="34">
        <f t="shared" si="109"/>
        <v>250</v>
      </c>
      <c r="Y118" s="35">
        <f>(X118/X115)</f>
        <v>4.1071135206177098E-2</v>
      </c>
      <c r="Z118" s="37"/>
      <c r="AA118" s="34">
        <f t="shared" si="110"/>
        <v>244</v>
      </c>
      <c r="AB118" s="35">
        <f>(AA118/AA115)</f>
        <v>4.027731924727633E-2</v>
      </c>
      <c r="AC118" s="37"/>
      <c r="AD118" s="34">
        <f t="shared" si="111"/>
        <v>251</v>
      </c>
      <c r="AE118" s="35">
        <f>(AD118/AD115)</f>
        <v>4.0766607113854152E-2</v>
      </c>
      <c r="AF118" s="37"/>
      <c r="AG118" s="34">
        <f t="shared" si="112"/>
        <v>273</v>
      </c>
      <c r="AH118" s="35">
        <f>(AG118/AG115)</f>
        <v>4.4018058690744918E-2</v>
      </c>
      <c r="AI118" s="37"/>
      <c r="AJ118" s="34">
        <f t="shared" si="113"/>
        <v>284</v>
      </c>
      <c r="AK118" s="35">
        <f>(AJ118/AJ115)</f>
        <v>4.5703250724171224E-2</v>
      </c>
      <c r="AL118" s="37"/>
      <c r="AM118" s="34">
        <f t="shared" si="114"/>
        <v>296</v>
      </c>
      <c r="AN118" s="35">
        <f>(AM118/AM115)</f>
        <v>4.8075361377294137E-2</v>
      </c>
      <c r="AP118" s="34">
        <f t="shared" si="115"/>
        <v>295</v>
      </c>
      <c r="AQ118" s="35">
        <f>(AP118/AP115)</f>
        <v>4.9663299663299666E-2</v>
      </c>
      <c r="AS118" s="34">
        <f t="shared" si="116"/>
        <v>327</v>
      </c>
      <c r="AT118" s="35">
        <f>(AS118/AS115)</f>
        <v>5.3058575369138404E-2</v>
      </c>
      <c r="AV118" s="34">
        <f t="shared" si="117"/>
        <v>336</v>
      </c>
      <c r="AW118" s="35">
        <f>(AV118/AV115)</f>
        <v>5.5308641975308645E-2</v>
      </c>
      <c r="AY118" s="34">
        <f t="shared" si="118"/>
        <v>339</v>
      </c>
      <c r="AZ118" s="35">
        <f>(AY118/AY115)</f>
        <v>5.6125827814569533E-2</v>
      </c>
      <c r="BB118" s="34">
        <f t="shared" si="119"/>
        <v>381</v>
      </c>
      <c r="BC118" s="35">
        <f>(BB118/BB115)</f>
        <v>6.2912813738441209E-2</v>
      </c>
      <c r="BE118" s="34">
        <f t="shared" si="120"/>
        <v>406</v>
      </c>
      <c r="BF118" s="35">
        <f>(BE118/BE115)</f>
        <v>6.6743383199079395E-2</v>
      </c>
      <c r="BH118" s="34">
        <f t="shared" si="121"/>
        <v>419</v>
      </c>
      <c r="BI118" s="35">
        <f>(BH118/BH115)</f>
        <v>6.7931258106355377E-2</v>
      </c>
      <c r="BK118" s="34">
        <f t="shared" si="122"/>
        <v>435</v>
      </c>
      <c r="BL118" s="35">
        <f>(BK118/BK115)</f>
        <v>7.1066819147198174E-2</v>
      </c>
      <c r="BN118" s="34">
        <f t="shared" si="123"/>
        <v>418</v>
      </c>
      <c r="BO118" s="35">
        <f>(BN118/BN115)</f>
        <v>7.2168508287292821E-2</v>
      </c>
      <c r="BQ118" s="34">
        <f t="shared" si="124"/>
        <v>438</v>
      </c>
      <c r="BR118" s="35">
        <f>(BQ118/BQ115)</f>
        <v>7.4807856532877887E-2</v>
      </c>
      <c r="BT118" s="34">
        <f t="shared" si="125"/>
        <v>457</v>
      </c>
      <c r="BU118" s="35">
        <f>(BT118/BT115)</f>
        <v>7.6128602365483924E-2</v>
      </c>
      <c r="BW118" s="34">
        <f t="shared" si="126"/>
        <v>475</v>
      </c>
      <c r="BX118" s="35">
        <f>(BW118/BW115)</f>
        <v>7.7652444008500895E-2</v>
      </c>
      <c r="BZ118" s="34">
        <f t="shared" si="127"/>
        <v>497</v>
      </c>
      <c r="CA118" s="35">
        <f>(BZ118/BZ115)</f>
        <v>7.9916385270943885E-2</v>
      </c>
      <c r="CC118" s="34">
        <f t="shared" si="128"/>
        <v>532</v>
      </c>
      <c r="CD118" s="35">
        <f>(CC118/CC115)</f>
        <v>8.3281152160300562E-2</v>
      </c>
      <c r="CF118" s="34">
        <f t="shared" si="129"/>
        <v>548</v>
      </c>
      <c r="CG118" s="35">
        <f>(CF118/CF115)</f>
        <v>8.4842854931103884E-2</v>
      </c>
      <c r="CI118" s="34">
        <f t="shared" si="130"/>
        <v>556</v>
      </c>
      <c r="CJ118" s="35">
        <f>CI118/CI115</f>
        <v>8.547271329746349E-2</v>
      </c>
      <c r="CL118" s="34">
        <f t="shared" si="131"/>
        <v>565</v>
      </c>
      <c r="CM118" s="35">
        <f t="shared" si="135"/>
        <v>8.711069996916436E-2</v>
      </c>
      <c r="CO118" s="86">
        <f t="shared" si="136"/>
        <v>473</v>
      </c>
      <c r="CP118" s="35">
        <f t="shared" si="132"/>
        <v>7.4149553221508069E-2</v>
      </c>
      <c r="CR118" s="34">
        <f t="shared" si="137"/>
        <v>473</v>
      </c>
      <c r="CS118" s="35">
        <f t="shared" si="133"/>
        <v>7.1873575444461324E-2</v>
      </c>
      <c r="CU118" s="34">
        <f t="shared" si="138"/>
        <v>470</v>
      </c>
      <c r="CV118" s="35">
        <f t="shared" si="139"/>
        <v>7.2252113758647193E-2</v>
      </c>
      <c r="CX118" s="34">
        <f t="shared" si="140"/>
        <v>476</v>
      </c>
      <c r="CY118" s="35">
        <f t="shared" si="134"/>
        <v>7.3174481168332056E-2</v>
      </c>
      <c r="CZ118" s="34"/>
      <c r="DA118" s="34">
        <f t="shared" si="141"/>
        <v>499</v>
      </c>
      <c r="DB118" s="35">
        <f t="shared" si="142"/>
        <v>7.4544368090827609E-2</v>
      </c>
      <c r="DC118" s="34"/>
      <c r="DD118" s="34">
        <f t="shared" si="143"/>
        <v>498</v>
      </c>
      <c r="DE118" s="35">
        <f t="shared" si="144"/>
        <v>7.4394980579623543E-2</v>
      </c>
      <c r="DF118" s="34"/>
      <c r="DG118" s="34">
        <f t="shared" si="145"/>
        <v>501</v>
      </c>
      <c r="DH118" s="35">
        <f t="shared" si="146"/>
        <v>7.4843143113235727E-2</v>
      </c>
    </row>
    <row r="119" spans="1:112" s="27" customFormat="1" ht="10.15" customHeight="1">
      <c r="B119" s="118" t="s">
        <v>10</v>
      </c>
      <c r="C119" s="118"/>
      <c r="D119" s="118"/>
      <c r="E119" s="118"/>
      <c r="F119" s="34">
        <f t="shared" si="103"/>
        <v>41</v>
      </c>
      <c r="G119" s="35">
        <f>(F119/F115)</f>
        <v>6.950330564502458E-3</v>
      </c>
      <c r="H119" s="34"/>
      <c r="I119" s="34">
        <f t="shared" si="104"/>
        <v>36</v>
      </c>
      <c r="J119" s="35">
        <f>(I119/I115)</f>
        <v>6.3102541630148988E-3</v>
      </c>
      <c r="K119" s="36"/>
      <c r="L119" s="34">
        <f t="shared" si="105"/>
        <v>43</v>
      </c>
      <c r="M119" s="35">
        <f>(L119/L115)</f>
        <v>7.6160113354587318E-3</v>
      </c>
      <c r="N119" s="37"/>
      <c r="O119" s="34">
        <f t="shared" si="106"/>
        <v>50</v>
      </c>
      <c r="P119" s="35">
        <f>(O119/O115)</f>
        <v>8.7017055342847194E-3</v>
      </c>
      <c r="Q119" s="37"/>
      <c r="R119" s="34">
        <f t="shared" si="107"/>
        <v>67</v>
      </c>
      <c r="S119" s="35">
        <f>(R119/R115)</f>
        <v>1.126618463090634E-2</v>
      </c>
      <c r="T119" s="37"/>
      <c r="U119" s="34">
        <f t="shared" si="108"/>
        <v>75</v>
      </c>
      <c r="V119" s="35">
        <f>(U119/U115)</f>
        <v>1.2291052114060964E-2</v>
      </c>
      <c r="W119" s="37"/>
      <c r="X119" s="34">
        <f t="shared" si="109"/>
        <v>72</v>
      </c>
      <c r="Y119" s="35">
        <f>(X119/X115)</f>
        <v>1.1828486939379004E-2</v>
      </c>
      <c r="Z119" s="37"/>
      <c r="AA119" s="34">
        <f t="shared" si="110"/>
        <v>85</v>
      </c>
      <c r="AB119" s="35">
        <f>(AA119/AA115)</f>
        <v>1.4031033344338065E-2</v>
      </c>
      <c r="AC119" s="37"/>
      <c r="AD119" s="34">
        <f t="shared" si="111"/>
        <v>83</v>
      </c>
      <c r="AE119" s="35">
        <f>(AD119/AD115)</f>
        <v>1.3480591197011532E-2</v>
      </c>
      <c r="AF119" s="37"/>
      <c r="AG119" s="34">
        <f t="shared" si="112"/>
        <v>80</v>
      </c>
      <c r="AH119" s="35">
        <f>(AG119/AG115)</f>
        <v>1.2899064817800709E-2</v>
      </c>
      <c r="AI119" s="37"/>
      <c r="AJ119" s="34">
        <f t="shared" si="113"/>
        <v>87</v>
      </c>
      <c r="AK119" s="35">
        <f>(AJ119/AJ115)</f>
        <v>1.4000643707756678E-2</v>
      </c>
      <c r="AL119" s="37"/>
      <c r="AM119" s="34">
        <f t="shared" si="114"/>
        <v>76</v>
      </c>
      <c r="AN119" s="35">
        <f>(AM119/AM115)</f>
        <v>1.2343673867143089E-2</v>
      </c>
      <c r="AP119" s="34">
        <f t="shared" si="115"/>
        <v>78</v>
      </c>
      <c r="AQ119" s="35">
        <f>(AP119/AP115)</f>
        <v>1.3131313131313131E-2</v>
      </c>
      <c r="AS119" s="34">
        <f t="shared" si="116"/>
        <v>92</v>
      </c>
      <c r="AT119" s="35">
        <f>(AS119/AS115)</f>
        <v>1.4927794905078695E-2</v>
      </c>
      <c r="AV119" s="34">
        <f t="shared" si="117"/>
        <v>92</v>
      </c>
      <c r="AW119" s="35">
        <f>(AV119/AV115)</f>
        <v>1.5144032921810699E-2</v>
      </c>
      <c r="AY119" s="34">
        <f t="shared" si="118"/>
        <v>91</v>
      </c>
      <c r="AZ119" s="35">
        <f>(AY119/AY115)</f>
        <v>1.5066225165562913E-2</v>
      </c>
      <c r="BB119" s="34">
        <f t="shared" si="119"/>
        <v>100</v>
      </c>
      <c r="BC119" s="35">
        <f>(BB119/BB115)</f>
        <v>1.6512549537648614E-2</v>
      </c>
      <c r="BE119" s="34">
        <f t="shared" si="120"/>
        <v>103</v>
      </c>
      <c r="BF119" s="35">
        <f>(BE119/BE115)</f>
        <v>1.6932434653953641E-2</v>
      </c>
      <c r="BH119" s="34">
        <f t="shared" si="121"/>
        <v>104</v>
      </c>
      <c r="BI119" s="35">
        <f>(BH119/BH115)</f>
        <v>1.6861219195849545E-2</v>
      </c>
      <c r="BK119" s="34">
        <f t="shared" si="122"/>
        <v>111</v>
      </c>
      <c r="BL119" s="35">
        <f>(BK119/BK115)</f>
        <v>1.8134291782388498E-2</v>
      </c>
      <c r="BN119" s="34">
        <f t="shared" si="123"/>
        <v>111</v>
      </c>
      <c r="BO119" s="35">
        <f>(BN119/BN115)</f>
        <v>1.9164364640883978E-2</v>
      </c>
      <c r="BQ119" s="34">
        <f t="shared" si="124"/>
        <v>121</v>
      </c>
      <c r="BR119" s="35">
        <f>(BQ119/BQ115)</f>
        <v>2.0666097352690007E-2</v>
      </c>
      <c r="BT119" s="34">
        <f t="shared" si="125"/>
        <v>132</v>
      </c>
      <c r="BU119" s="35">
        <f>(BT119/BT115)</f>
        <v>2.1989005497251374E-2</v>
      </c>
      <c r="BW119" s="34">
        <f t="shared" si="126"/>
        <v>124</v>
      </c>
      <c r="BX119" s="35">
        <f>(BW119/BW115)</f>
        <v>2.0271374856956025E-2</v>
      </c>
      <c r="BZ119" s="34">
        <f t="shared" si="127"/>
        <v>132</v>
      </c>
      <c r="CA119" s="35">
        <f>(BZ119/BZ115)</f>
        <v>2.1225277375783887E-2</v>
      </c>
      <c r="CC119" s="34">
        <f t="shared" si="128"/>
        <v>150</v>
      </c>
      <c r="CD119" s="35">
        <f>(CC119/CC115)</f>
        <v>2.3481527864746398E-2</v>
      </c>
      <c r="CF119" s="34">
        <f t="shared" si="129"/>
        <v>173</v>
      </c>
      <c r="CG119" s="35">
        <f>(CF119/CF115)</f>
        <v>2.6784331939928782E-2</v>
      </c>
      <c r="CI119" s="34">
        <f t="shared" si="130"/>
        <v>189</v>
      </c>
      <c r="CJ119" s="35">
        <f>CI119/CI115</f>
        <v>2.905457340507302E-2</v>
      </c>
      <c r="CL119" s="34">
        <f t="shared" si="131"/>
        <v>200</v>
      </c>
      <c r="CM119" s="35">
        <f t="shared" si="135"/>
        <v>3.0835646006783842E-2</v>
      </c>
      <c r="CO119" s="86">
        <f t="shared" si="136"/>
        <v>170</v>
      </c>
      <c r="CP119" s="35">
        <f t="shared" si="132"/>
        <v>2.6649945132465904E-2</v>
      </c>
      <c r="CR119" s="34">
        <f t="shared" si="137"/>
        <v>184</v>
      </c>
      <c r="CS119" s="35">
        <f t="shared" si="133"/>
        <v>2.7959276705667831E-2</v>
      </c>
      <c r="CU119" s="34">
        <f t="shared" si="138"/>
        <v>195</v>
      </c>
      <c r="CV119" s="35">
        <f t="shared" si="139"/>
        <v>2.997694081475788E-2</v>
      </c>
      <c r="CX119" s="34">
        <f t="shared" si="140"/>
        <v>190</v>
      </c>
      <c r="CY119" s="35">
        <f t="shared" si="134"/>
        <v>2.9208301306687164E-2</v>
      </c>
      <c r="CZ119" s="34"/>
      <c r="DA119" s="34">
        <f t="shared" si="141"/>
        <v>241</v>
      </c>
      <c r="DB119" s="35">
        <f t="shared" si="142"/>
        <v>3.6002390200179264E-2</v>
      </c>
      <c r="DC119" s="34"/>
      <c r="DD119" s="34">
        <f t="shared" si="143"/>
        <v>235</v>
      </c>
      <c r="DE119" s="35">
        <f t="shared" si="144"/>
        <v>3.5106065132954882E-2</v>
      </c>
      <c r="DF119" s="34"/>
      <c r="DG119" s="34">
        <f t="shared" si="145"/>
        <v>257</v>
      </c>
      <c r="DH119" s="35">
        <f t="shared" si="146"/>
        <v>3.8392590379444279E-2</v>
      </c>
    </row>
    <row r="120" spans="1:112" s="27" customFormat="1" ht="10.15" customHeight="1">
      <c r="B120" s="118" t="s">
        <v>33</v>
      </c>
      <c r="C120" s="118"/>
      <c r="D120" s="118"/>
      <c r="E120" s="118"/>
      <c r="F120" s="34">
        <f t="shared" si="103"/>
        <v>0</v>
      </c>
      <c r="G120" s="35"/>
      <c r="H120" s="34"/>
      <c r="I120" s="34">
        <f t="shared" si="104"/>
        <v>0</v>
      </c>
      <c r="J120" s="35"/>
      <c r="K120" s="36"/>
      <c r="L120" s="34">
        <f t="shared" si="105"/>
        <v>0</v>
      </c>
      <c r="M120" s="35"/>
      <c r="N120" s="37"/>
      <c r="O120" s="34">
        <f t="shared" si="106"/>
        <v>0</v>
      </c>
      <c r="P120" s="35"/>
      <c r="Q120" s="37"/>
      <c r="R120" s="34">
        <f t="shared" si="107"/>
        <v>0</v>
      </c>
      <c r="S120" s="35"/>
      <c r="T120" s="37"/>
      <c r="U120" s="34">
        <f t="shared" si="108"/>
        <v>0</v>
      </c>
      <c r="V120" s="35"/>
      <c r="W120" s="37"/>
      <c r="X120" s="34">
        <f t="shared" si="109"/>
        <v>0</v>
      </c>
      <c r="Y120" s="35"/>
      <c r="Z120" s="37"/>
      <c r="AA120" s="34">
        <f t="shared" si="110"/>
        <v>0</v>
      </c>
      <c r="AB120" s="35"/>
      <c r="AC120" s="37"/>
      <c r="AD120" s="34">
        <f t="shared" si="111"/>
        <v>0</v>
      </c>
      <c r="AE120" s="35"/>
      <c r="AF120" s="37"/>
      <c r="AG120" s="34">
        <f t="shared" si="112"/>
        <v>0</v>
      </c>
      <c r="AH120" s="35"/>
      <c r="AI120" s="37"/>
      <c r="AJ120" s="34">
        <f t="shared" si="113"/>
        <v>0</v>
      </c>
      <c r="AK120" s="35"/>
      <c r="AL120" s="37"/>
      <c r="AM120" s="34">
        <f t="shared" si="114"/>
        <v>0</v>
      </c>
      <c r="AN120" s="35"/>
      <c r="AP120" s="34">
        <f t="shared" si="115"/>
        <v>0</v>
      </c>
      <c r="AQ120" s="35"/>
      <c r="AS120" s="34">
        <f t="shared" si="116"/>
        <v>0</v>
      </c>
      <c r="AT120" s="35"/>
      <c r="AV120" s="34">
        <f t="shared" si="117"/>
        <v>0</v>
      </c>
      <c r="AW120" s="35"/>
      <c r="AY120" s="34">
        <f t="shared" si="118"/>
        <v>0</v>
      </c>
      <c r="AZ120" s="35"/>
      <c r="BB120" s="34">
        <f t="shared" si="119"/>
        <v>0</v>
      </c>
      <c r="BC120" s="35"/>
      <c r="BE120" s="34">
        <f t="shared" si="120"/>
        <v>0</v>
      </c>
      <c r="BF120" s="35"/>
      <c r="BH120" s="34">
        <f t="shared" si="121"/>
        <v>0</v>
      </c>
      <c r="BI120" s="35"/>
      <c r="BK120" s="34">
        <f t="shared" si="122"/>
        <v>0</v>
      </c>
      <c r="BL120" s="35">
        <f>BK120/BK115</f>
        <v>0</v>
      </c>
      <c r="BN120" s="34">
        <f t="shared" si="123"/>
        <v>1</v>
      </c>
      <c r="BO120" s="35">
        <f>BN120/BN115</f>
        <v>1.7265193370165745E-4</v>
      </c>
      <c r="BQ120" s="34">
        <f t="shared" si="124"/>
        <v>1</v>
      </c>
      <c r="BR120" s="35">
        <f>BQ120/BQ115</f>
        <v>1.7079419299743809E-4</v>
      </c>
      <c r="BT120" s="34">
        <f t="shared" si="125"/>
        <v>2</v>
      </c>
      <c r="BU120" s="35">
        <f>BT120/BT115</f>
        <v>3.3316674995835418E-4</v>
      </c>
      <c r="BW120" s="34">
        <f t="shared" si="126"/>
        <v>2</v>
      </c>
      <c r="BX120" s="35">
        <f>BW120/BW115</f>
        <v>3.2695765898316167E-4</v>
      </c>
      <c r="BZ120" s="34">
        <f t="shared" si="127"/>
        <v>3</v>
      </c>
      <c r="CA120" s="35">
        <f>BZ120/BZ115</f>
        <v>4.8239266763145202E-4</v>
      </c>
      <c r="CC120" s="34">
        <f t="shared" si="128"/>
        <v>5</v>
      </c>
      <c r="CD120" s="35">
        <f>CC120/CC115</f>
        <v>7.8271759549154664E-4</v>
      </c>
      <c r="CF120" s="34">
        <f t="shared" si="129"/>
        <v>5</v>
      </c>
      <c r="CG120" s="35">
        <f>CF120/CF115</f>
        <v>7.7411363988233472E-4</v>
      </c>
      <c r="CI120" s="34">
        <f t="shared" si="130"/>
        <v>4</v>
      </c>
      <c r="CJ120" s="35">
        <f>CI120/CI115</f>
        <v>6.1491160645657191E-4</v>
      </c>
      <c r="CL120" s="34">
        <f t="shared" si="131"/>
        <v>4</v>
      </c>
      <c r="CM120" s="35">
        <f t="shared" si="135"/>
        <v>6.167129201356768E-4</v>
      </c>
      <c r="CO120" s="86">
        <f t="shared" si="136"/>
        <v>4</v>
      </c>
      <c r="CP120" s="35">
        <f t="shared" si="132"/>
        <v>6.2705753252860952E-4</v>
      </c>
      <c r="CR120" s="34">
        <f t="shared" si="137"/>
        <v>4</v>
      </c>
      <c r="CS120" s="35">
        <f t="shared" si="133"/>
        <v>6.07810363166692E-4</v>
      </c>
      <c r="CU120" s="34">
        <f t="shared" si="138"/>
        <v>3</v>
      </c>
      <c r="CV120" s="35">
        <f t="shared" si="139"/>
        <v>4.6118370484242888E-4</v>
      </c>
      <c r="CX120" s="34">
        <f t="shared" si="140"/>
        <v>2</v>
      </c>
      <c r="CY120" s="35">
        <f t="shared" si="134"/>
        <v>3.0745580322828596E-4</v>
      </c>
      <c r="CZ120" s="34"/>
      <c r="DA120" s="34">
        <f t="shared" si="141"/>
        <v>2</v>
      </c>
      <c r="DB120" s="35">
        <f t="shared" si="142"/>
        <v>2.9877502240812666E-4</v>
      </c>
      <c r="DC120" s="34"/>
      <c r="DD120" s="34">
        <f t="shared" si="143"/>
        <v>2</v>
      </c>
      <c r="DE120" s="35">
        <f t="shared" si="144"/>
        <v>2.9877502240812666E-4</v>
      </c>
      <c r="DF120" s="34"/>
      <c r="DG120" s="34">
        <f t="shared" si="145"/>
        <v>2</v>
      </c>
      <c r="DH120" s="35">
        <f t="shared" si="146"/>
        <v>2.9877502240812666E-4</v>
      </c>
    </row>
    <row r="121" spans="1:112" s="27" customFormat="1" ht="10.15" customHeight="1">
      <c r="B121" s="118" t="s">
        <v>34</v>
      </c>
      <c r="C121" s="118"/>
      <c r="D121" s="118"/>
      <c r="E121" s="118"/>
      <c r="F121" s="34">
        <f t="shared" si="103"/>
        <v>0</v>
      </c>
      <c r="G121" s="35"/>
      <c r="H121" s="34"/>
      <c r="I121" s="34">
        <f t="shared" si="104"/>
        <v>0</v>
      </c>
      <c r="J121" s="35"/>
      <c r="K121" s="36"/>
      <c r="L121" s="34">
        <f t="shared" si="105"/>
        <v>0</v>
      </c>
      <c r="M121" s="35"/>
      <c r="N121" s="37"/>
      <c r="O121" s="34">
        <f t="shared" si="106"/>
        <v>0</v>
      </c>
      <c r="P121" s="35"/>
      <c r="Q121" s="37"/>
      <c r="R121" s="34">
        <f t="shared" si="107"/>
        <v>0</v>
      </c>
      <c r="S121" s="35"/>
      <c r="T121" s="37"/>
      <c r="U121" s="34">
        <f t="shared" si="108"/>
        <v>0</v>
      </c>
      <c r="V121" s="35"/>
      <c r="W121" s="37"/>
      <c r="X121" s="34">
        <f t="shared" si="109"/>
        <v>0</v>
      </c>
      <c r="Y121" s="35"/>
      <c r="Z121" s="37"/>
      <c r="AA121" s="34">
        <f t="shared" si="110"/>
        <v>0</v>
      </c>
      <c r="AB121" s="35"/>
      <c r="AC121" s="37"/>
      <c r="AD121" s="34">
        <f t="shared" si="111"/>
        <v>0</v>
      </c>
      <c r="AE121" s="35"/>
      <c r="AF121" s="37"/>
      <c r="AG121" s="34">
        <f t="shared" si="112"/>
        <v>0</v>
      </c>
      <c r="AH121" s="35"/>
      <c r="AI121" s="37"/>
      <c r="AJ121" s="34">
        <f t="shared" si="113"/>
        <v>0</v>
      </c>
      <c r="AK121" s="35"/>
      <c r="AL121" s="37"/>
      <c r="AM121" s="34">
        <f t="shared" si="114"/>
        <v>0</v>
      </c>
      <c r="AN121" s="35"/>
      <c r="AP121" s="34">
        <f t="shared" si="115"/>
        <v>0</v>
      </c>
      <c r="AQ121" s="35"/>
      <c r="AS121" s="34">
        <f t="shared" si="116"/>
        <v>0</v>
      </c>
      <c r="AT121" s="35"/>
      <c r="AV121" s="34">
        <f t="shared" si="117"/>
        <v>0</v>
      </c>
      <c r="AW121" s="35"/>
      <c r="AY121" s="34">
        <f t="shared" si="118"/>
        <v>0</v>
      </c>
      <c r="AZ121" s="35"/>
      <c r="BB121" s="34">
        <f t="shared" si="119"/>
        <v>0</v>
      </c>
      <c r="BC121" s="35"/>
      <c r="BE121" s="34">
        <f t="shared" si="120"/>
        <v>0</v>
      </c>
      <c r="BF121" s="35"/>
      <c r="BH121" s="34">
        <f t="shared" si="121"/>
        <v>0</v>
      </c>
      <c r="BI121" s="35"/>
      <c r="BK121" s="34">
        <f t="shared" si="122"/>
        <v>6</v>
      </c>
      <c r="BL121" s="35">
        <f>BK121/BK115</f>
        <v>9.8023198823721605E-4</v>
      </c>
      <c r="BN121" s="34">
        <f t="shared" si="123"/>
        <v>11</v>
      </c>
      <c r="BO121" s="35">
        <f>BN121/BN115</f>
        <v>1.899171270718232E-3</v>
      </c>
      <c r="BQ121" s="34">
        <f t="shared" si="124"/>
        <v>12</v>
      </c>
      <c r="BR121" s="35">
        <f>BQ121/BQ115</f>
        <v>2.0495303159692572E-3</v>
      </c>
      <c r="BT121" s="34">
        <f t="shared" si="125"/>
        <v>12</v>
      </c>
      <c r="BU121" s="35">
        <f>BT121/BT115</f>
        <v>1.9990004997501249E-3</v>
      </c>
      <c r="BW121" s="34">
        <f t="shared" si="126"/>
        <v>16</v>
      </c>
      <c r="BX121" s="35">
        <f>BW121/BW115</f>
        <v>2.6156612718652933E-3</v>
      </c>
      <c r="BZ121" s="34">
        <f t="shared" si="127"/>
        <v>18</v>
      </c>
      <c r="CA121" s="35">
        <f>BZ121/BZ115</f>
        <v>2.8943560057887118E-3</v>
      </c>
      <c r="CC121" s="34">
        <f t="shared" si="128"/>
        <v>26</v>
      </c>
      <c r="CD121" s="35">
        <f>CC121/CC115</f>
        <v>4.0701314965560422E-3</v>
      </c>
      <c r="CF121" s="34">
        <f t="shared" si="129"/>
        <v>33</v>
      </c>
      <c r="CG121" s="35">
        <f>CF121/CF115</f>
        <v>5.1091500232234091E-3</v>
      </c>
      <c r="CI121" s="34">
        <f t="shared" si="130"/>
        <v>43</v>
      </c>
      <c r="CJ121" s="35">
        <f>CI121/CI115</f>
        <v>6.6102997694081475E-3</v>
      </c>
      <c r="CL121" s="34">
        <f t="shared" si="131"/>
        <v>47</v>
      </c>
      <c r="CM121" s="35">
        <f t="shared" si="135"/>
        <v>7.246376811594203E-3</v>
      </c>
      <c r="CO121" s="86">
        <f t="shared" si="136"/>
        <v>56</v>
      </c>
      <c r="CP121" s="35">
        <f t="shared" si="132"/>
        <v>8.7788054554005322E-3</v>
      </c>
      <c r="CR121" s="34">
        <f t="shared" si="137"/>
        <v>57</v>
      </c>
      <c r="CS121" s="35">
        <f t="shared" si="133"/>
        <v>8.6612976751253602E-3</v>
      </c>
      <c r="CU121" s="34">
        <f t="shared" si="138"/>
        <v>68</v>
      </c>
      <c r="CV121" s="35">
        <f t="shared" si="139"/>
        <v>1.0453497309761722E-2</v>
      </c>
      <c r="CX121" s="34">
        <f t="shared" si="140"/>
        <v>77</v>
      </c>
      <c r="CY121" s="35">
        <f t="shared" si="134"/>
        <v>1.1837048424289008E-2</v>
      </c>
      <c r="CZ121" s="34"/>
      <c r="DA121" s="34">
        <f t="shared" si="141"/>
        <v>75</v>
      </c>
      <c r="DB121" s="35">
        <f t="shared" si="142"/>
        <v>1.120406334030475E-2</v>
      </c>
      <c r="DC121" s="34"/>
      <c r="DD121" s="34">
        <f t="shared" si="143"/>
        <v>76</v>
      </c>
      <c r="DE121" s="35">
        <f t="shared" si="144"/>
        <v>1.1353450851508814E-2</v>
      </c>
      <c r="DF121" s="34"/>
      <c r="DG121" s="34">
        <f t="shared" si="145"/>
        <v>80</v>
      </c>
      <c r="DH121" s="35">
        <f t="shared" si="146"/>
        <v>1.1951000896325068E-2</v>
      </c>
    </row>
    <row r="122" spans="1:112" s="27" customFormat="1" ht="10.15" customHeight="1">
      <c r="B122" s="118" t="s">
        <v>71</v>
      </c>
      <c r="C122" s="118"/>
      <c r="D122" s="118"/>
      <c r="E122" s="118"/>
      <c r="F122" s="34"/>
      <c r="G122" s="35"/>
      <c r="H122" s="34"/>
      <c r="I122" s="34"/>
      <c r="J122" s="35"/>
      <c r="K122" s="36"/>
      <c r="L122" s="34"/>
      <c r="M122" s="35"/>
      <c r="N122" s="37"/>
      <c r="O122" s="34"/>
      <c r="P122" s="35"/>
      <c r="Q122" s="37"/>
      <c r="R122" s="34"/>
      <c r="S122" s="35"/>
      <c r="T122" s="37"/>
      <c r="U122" s="34"/>
      <c r="V122" s="35"/>
      <c r="W122" s="37"/>
      <c r="X122" s="34"/>
      <c r="Y122" s="35"/>
      <c r="Z122" s="37"/>
      <c r="AA122" s="34"/>
      <c r="AB122" s="35"/>
      <c r="AC122" s="37"/>
      <c r="AD122" s="34"/>
      <c r="AE122" s="35"/>
      <c r="AF122" s="37"/>
      <c r="AG122" s="34"/>
      <c r="AH122" s="35"/>
      <c r="AI122" s="37"/>
      <c r="AJ122" s="34"/>
      <c r="AK122" s="35"/>
      <c r="AL122" s="37"/>
      <c r="AM122" s="34"/>
      <c r="AN122" s="35"/>
      <c r="AP122" s="34"/>
      <c r="AQ122" s="35"/>
      <c r="AS122" s="34"/>
      <c r="AT122" s="35"/>
      <c r="AV122" s="34"/>
      <c r="AW122" s="35"/>
      <c r="AY122" s="34"/>
      <c r="AZ122" s="35"/>
      <c r="BB122" s="34"/>
      <c r="BC122" s="35"/>
      <c r="BE122" s="34"/>
      <c r="BF122" s="35"/>
      <c r="BH122" s="34"/>
      <c r="BI122" s="35"/>
      <c r="BK122" s="34"/>
      <c r="BL122" s="35"/>
      <c r="BN122" s="34"/>
      <c r="BO122" s="35"/>
      <c r="BQ122" s="34"/>
      <c r="BR122" s="35"/>
      <c r="BT122" s="34"/>
      <c r="BU122" s="35"/>
      <c r="BW122" s="34"/>
      <c r="BX122" s="35"/>
      <c r="BZ122" s="34"/>
      <c r="CA122" s="35"/>
      <c r="CC122" s="34"/>
      <c r="CD122" s="35"/>
      <c r="CF122" s="106" t="s">
        <v>59</v>
      </c>
      <c r="CG122" s="106" t="s">
        <v>61</v>
      </c>
      <c r="CI122" s="106" t="s">
        <v>59</v>
      </c>
      <c r="CJ122" s="106" t="s">
        <v>62</v>
      </c>
      <c r="CL122" s="106" t="s">
        <v>59</v>
      </c>
      <c r="CM122" s="106" t="s">
        <v>63</v>
      </c>
      <c r="CO122" s="86">
        <f t="shared" si="136"/>
        <v>73</v>
      </c>
      <c r="CP122" s="35">
        <f t="shared" si="132"/>
        <v>1.1443799968647124E-2</v>
      </c>
      <c r="CR122" s="34">
        <f t="shared" si="137"/>
        <v>157</v>
      </c>
      <c r="CS122" s="35">
        <f t="shared" si="133"/>
        <v>2.3856556754292661E-2</v>
      </c>
      <c r="CU122" s="34">
        <f t="shared" si="138"/>
        <v>146</v>
      </c>
      <c r="CV122" s="35">
        <f t="shared" si="139"/>
        <v>2.2444273635664872E-2</v>
      </c>
      <c r="CX122" s="34">
        <f t="shared" si="140"/>
        <v>150</v>
      </c>
      <c r="CY122" s="35">
        <f t="shared" si="134"/>
        <v>2.3059185242121444E-2</v>
      </c>
      <c r="CZ122" s="34"/>
      <c r="DA122" s="34">
        <f t="shared" si="141"/>
        <v>159</v>
      </c>
      <c r="DB122" s="35">
        <f t="shared" si="142"/>
        <v>2.375261428144607E-2</v>
      </c>
      <c r="DC122" s="34"/>
      <c r="DD122" s="34">
        <f t="shared" si="143"/>
        <v>166</v>
      </c>
      <c r="DE122" s="35">
        <f t="shared" si="144"/>
        <v>2.4798326859874514E-2</v>
      </c>
      <c r="DF122" s="34"/>
      <c r="DG122" s="34">
        <f t="shared" si="145"/>
        <v>171</v>
      </c>
      <c r="DH122" s="35">
        <f t="shared" si="146"/>
        <v>2.5545264415894831E-2</v>
      </c>
    </row>
    <row r="123" spans="1:112" s="27" customFormat="1" ht="10.15" customHeight="1">
      <c r="C123" s="119" t="s">
        <v>68</v>
      </c>
      <c r="D123" s="119"/>
      <c r="E123" s="119"/>
      <c r="F123" s="34">
        <f>SUM(F116:F121)</f>
        <v>324</v>
      </c>
      <c r="G123" s="35">
        <f>(F123/F115)</f>
        <v>5.4924563485336496E-2</v>
      </c>
      <c r="H123" s="34"/>
      <c r="I123" s="34">
        <f>SUM(I116:I121)</f>
        <v>333</v>
      </c>
      <c r="J123" s="35">
        <f>(I123/I115)</f>
        <v>5.8369851007887816E-2</v>
      </c>
      <c r="K123" s="36"/>
      <c r="L123" s="34">
        <f>SUM(L116:L121)</f>
        <v>357</v>
      </c>
      <c r="M123" s="35">
        <f>(L123/L115)</f>
        <v>6.3230605738575987E-2</v>
      </c>
      <c r="N123" s="37"/>
      <c r="O123" s="34">
        <f>SUM(O116:O121)</f>
        <v>378</v>
      </c>
      <c r="P123" s="35">
        <f>(O123/O115)</f>
        <v>6.5784893839192476E-2</v>
      </c>
      <c r="Q123" s="37"/>
      <c r="R123" s="34">
        <f>SUM(R116:R121)</f>
        <v>412</v>
      </c>
      <c r="S123" s="35">
        <f>(R123/R115)</f>
        <v>6.9278627879603163E-2</v>
      </c>
      <c r="T123" s="37"/>
      <c r="U123" s="34">
        <f>SUM(U116:U121)</f>
        <v>422</v>
      </c>
      <c r="V123" s="35">
        <f>(U123/U115)</f>
        <v>6.9157653228449689E-2</v>
      </c>
      <c r="W123" s="37"/>
      <c r="X123" s="34">
        <f>SUM(X116:X121)</f>
        <v>439</v>
      </c>
      <c r="Y123" s="35">
        <f>(X123/X115)</f>
        <v>7.2120913422046989E-2</v>
      </c>
      <c r="Z123" s="37"/>
      <c r="AA123" s="34">
        <f>SUM(AA116:AA121)</f>
        <v>455</v>
      </c>
      <c r="AB123" s="35">
        <f>(AA123/AA115)</f>
        <v>7.5107296137339061E-2</v>
      </c>
      <c r="AC123" s="37"/>
      <c r="AD123" s="34">
        <f>SUM(AD116:AD121)</f>
        <v>463</v>
      </c>
      <c r="AE123" s="35">
        <f>(AD123/AD115)</f>
        <v>7.5198960532726983E-2</v>
      </c>
      <c r="AF123" s="37"/>
      <c r="AG123" s="34">
        <f>SUM(AG116:AG121)</f>
        <v>494</v>
      </c>
      <c r="AH123" s="35">
        <f>(AG123/AG115)</f>
        <v>7.9651725249919383E-2</v>
      </c>
      <c r="AI123" s="37"/>
      <c r="AJ123" s="34">
        <f>SUM(AJ116:AJ121)</f>
        <v>519</v>
      </c>
      <c r="AK123" s="35">
        <f>(AJ123/AJ115)</f>
        <v>8.3521081429031224E-2</v>
      </c>
      <c r="AL123" s="37"/>
      <c r="AM123" s="34">
        <f>SUM(AM116:AM121)</f>
        <v>518</v>
      </c>
      <c r="AN123" s="35">
        <f>(AM123/AM115)</f>
        <v>8.4131882410264744E-2</v>
      </c>
      <c r="AP123" s="34">
        <f>SUM(AP116:AP121)</f>
        <v>510</v>
      </c>
      <c r="AQ123" s="35">
        <f>(AP123/AP115)</f>
        <v>8.5858585858585856E-2</v>
      </c>
      <c r="AS123" s="34">
        <f>SUM(AS116:AS121)</f>
        <v>558</v>
      </c>
      <c r="AT123" s="35">
        <f>(AS123/AS115)</f>
        <v>9.0540321272107746E-2</v>
      </c>
      <c r="AV123" s="34">
        <f>SUM(AV116:AV121)</f>
        <v>560</v>
      </c>
      <c r="AW123" s="35">
        <f>(AV123/AV115)</f>
        <v>9.2181069958847742E-2</v>
      </c>
      <c r="AY123" s="34">
        <f>SUM(AY116:AY121)</f>
        <v>550</v>
      </c>
      <c r="AZ123" s="35">
        <f>(AY123/AY115)</f>
        <v>9.1059602649006616E-2</v>
      </c>
      <c r="BB123" s="34">
        <f>SUM(BB116:BB121)</f>
        <v>610</v>
      </c>
      <c r="BC123" s="35">
        <f>(BB123/BB115)</f>
        <v>0.10072655217965654</v>
      </c>
      <c r="BE123" s="34">
        <f>SUM(BE116:BE121)</f>
        <v>638</v>
      </c>
      <c r="BF123" s="35">
        <f>(BE123/BE115)</f>
        <v>0.10488245931283906</v>
      </c>
      <c r="BH123" s="34">
        <f>SUM(BH116:BH121)</f>
        <v>652</v>
      </c>
      <c r="BI123" s="35">
        <f>(BH123/BH115)</f>
        <v>0.10570687418936446</v>
      </c>
      <c r="BK123" s="34">
        <f>SUM(BK116:BK121)</f>
        <v>674</v>
      </c>
      <c r="BL123" s="35">
        <f>(BK123/BK115)</f>
        <v>0.11011272667864729</v>
      </c>
      <c r="BN123" s="34">
        <f>SUM(BN116:BN121)</f>
        <v>661</v>
      </c>
      <c r="BO123" s="35">
        <f>(BN123/BN115)</f>
        <v>0.11412292817679558</v>
      </c>
      <c r="BQ123" s="34">
        <f>SUM(BQ116:BQ121)</f>
        <v>696</v>
      </c>
      <c r="BR123" s="35">
        <f>(BQ123/BQ115)</f>
        <v>0.11887275832621691</v>
      </c>
      <c r="BT123" s="34">
        <f>SUM(BT116:BT121)</f>
        <v>735</v>
      </c>
      <c r="BU123" s="35">
        <f>(BT123/BT115)</f>
        <v>0.12243878060969515</v>
      </c>
      <c r="BW123" s="34">
        <f>SUM(BW116:BW121)</f>
        <v>754</v>
      </c>
      <c r="BX123" s="35">
        <f>(BW123/BW115)</f>
        <v>0.12326303743665196</v>
      </c>
      <c r="BZ123" s="34">
        <f>SUM(BZ116:BZ121)</f>
        <v>807</v>
      </c>
      <c r="CA123" s="35">
        <f>(BZ123/BZ115)</f>
        <v>0.12976362759286059</v>
      </c>
      <c r="CC123" s="34">
        <f>SUM(CC116:CC121)</f>
        <v>869</v>
      </c>
      <c r="CD123" s="35">
        <f>(CC123/CC115)</f>
        <v>0.1360363180964308</v>
      </c>
      <c r="CF123" s="34">
        <f>SUM(CF116:CF121)</f>
        <v>922</v>
      </c>
      <c r="CG123" s="35">
        <f>(CF123/CF115)</f>
        <v>0.14274655519430252</v>
      </c>
      <c r="CI123" s="34">
        <f>CI112+CI101+CI90+CI72+CI60</f>
        <v>966</v>
      </c>
      <c r="CJ123" s="35">
        <f>CI123/CI115</f>
        <v>0.14850115295926211</v>
      </c>
      <c r="CL123" s="34">
        <f>CL112+CL101+CL90+CL72+CL60</f>
        <v>993</v>
      </c>
      <c r="CM123" s="35">
        <f t="shared" si="135"/>
        <v>0.15309898242368178</v>
      </c>
      <c r="CO123" s="86">
        <f t="shared" si="136"/>
        <v>1031</v>
      </c>
      <c r="CP123" s="35">
        <f t="shared" si="132"/>
        <v>0.16162407900924911</v>
      </c>
      <c r="CR123" s="34">
        <f>CR112+CR101+CR90+CR72+CR60</f>
        <v>1041</v>
      </c>
      <c r="CS123" s="35">
        <f t="shared" si="133"/>
        <v>0.15818264701413159</v>
      </c>
      <c r="CU123" s="34">
        <f>CU112+CU101+CU90+CU72+CU60</f>
        <v>1029</v>
      </c>
      <c r="CV123" s="35">
        <f t="shared" si="139"/>
        <v>0.15818601076095312</v>
      </c>
      <c r="CX123" s="34">
        <f>CX112+CX101+CX90+CX72+CX60</f>
        <v>1050</v>
      </c>
      <c r="CY123" s="35">
        <f t="shared" si="134"/>
        <v>0.16141429669485011</v>
      </c>
      <c r="CZ123" s="34"/>
      <c r="DA123" s="34">
        <f>DA112+DA101+DA90+DA72+DA60</f>
        <v>1131</v>
      </c>
      <c r="DB123" s="35">
        <f t="shared" si="142"/>
        <v>0.16895727517179565</v>
      </c>
      <c r="DC123" s="34"/>
      <c r="DD123" s="34">
        <f>DD112+DD101+DD90+DD72+DD60</f>
        <v>1139</v>
      </c>
      <c r="DE123" s="35">
        <f t="shared" si="144"/>
        <v>0.17015237526142815</v>
      </c>
      <c r="DF123" s="34"/>
      <c r="DG123" s="34">
        <f>DG112+DG101+DG90+DG72+DG60</f>
        <v>1166</v>
      </c>
      <c r="DH123" s="35">
        <f t="shared" si="146"/>
        <v>0.17418583806393786</v>
      </c>
    </row>
    <row r="124" spans="1:112" s="27" customFormat="1" ht="10.15" customHeight="1">
      <c r="B124" s="90" t="s">
        <v>38</v>
      </c>
      <c r="C124" s="90"/>
      <c r="D124" s="90"/>
      <c r="E124" s="90"/>
      <c r="F124" s="34">
        <f>(F61+F73+F91+F102+F113)</f>
        <v>5575</v>
      </c>
      <c r="G124" s="35">
        <f>(F124/F115)</f>
        <v>0.94507543651466352</v>
      </c>
      <c r="H124" s="34"/>
      <c r="I124" s="34">
        <f>(I61+I73+I91+I102+I113)</f>
        <v>5372</v>
      </c>
      <c r="J124" s="35">
        <f>(I124/I115)</f>
        <v>0.94163014899211217</v>
      </c>
      <c r="K124" s="36"/>
      <c r="L124" s="34">
        <f>(L61+L73+L91+L102+L113)</f>
        <v>5289</v>
      </c>
      <c r="M124" s="35">
        <f>(L124/L115)</f>
        <v>0.93676939426142403</v>
      </c>
      <c r="N124" s="37"/>
      <c r="O124" s="34">
        <f>(O61+O73+O91+O102+O113)</f>
        <v>5368</v>
      </c>
      <c r="P124" s="35">
        <f>(O124/O115)</f>
        <v>0.9342151061608075</v>
      </c>
      <c r="Q124" s="37"/>
      <c r="R124" s="34">
        <f>(R61+R73+R91+R102+R113)</f>
        <v>5535</v>
      </c>
      <c r="S124" s="35">
        <f>(R124/R115)</f>
        <v>0.93072137212039685</v>
      </c>
      <c r="T124" s="37"/>
      <c r="U124" s="34">
        <f>(U61+U73+U91+U102+U113)</f>
        <v>5680</v>
      </c>
      <c r="V124" s="35">
        <f>(U124/U115)</f>
        <v>0.93084234677155031</v>
      </c>
      <c r="W124" s="37"/>
      <c r="X124" s="34">
        <f>(X61+X73+X91+X102+X113)</f>
        <v>5648</v>
      </c>
      <c r="Y124" s="35">
        <f>(X124/X115)</f>
        <v>0.92787908657795304</v>
      </c>
      <c r="Z124" s="37"/>
      <c r="AA124" s="34">
        <f>(AA61+AA73+AA91+AA102+AA113)</f>
        <v>5603</v>
      </c>
      <c r="AB124" s="35">
        <f>(AA124/AA115)</f>
        <v>0.92489270386266098</v>
      </c>
      <c r="AC124" s="37"/>
      <c r="AD124" s="34">
        <f>(AD61+AD73+AD91+AD102+AD113)</f>
        <v>5694</v>
      </c>
      <c r="AE124" s="35">
        <f>(AD124/AD115)</f>
        <v>0.92480103946727299</v>
      </c>
      <c r="AF124" s="37"/>
      <c r="AG124" s="34">
        <f>(AG61+AG73+AG91+AG102+AG113)</f>
        <v>5708</v>
      </c>
      <c r="AH124" s="35">
        <f>(AG124/AG115)</f>
        <v>0.92034827475008063</v>
      </c>
      <c r="AI124" s="37"/>
      <c r="AJ124" s="34">
        <f>(AJ61+AJ73+AJ91+AJ102+AJ113)</f>
        <v>5695</v>
      </c>
      <c r="AK124" s="35">
        <f>(AJ124/AJ115)</f>
        <v>0.91647891857096875</v>
      </c>
      <c r="AL124" s="37"/>
      <c r="AM124" s="34">
        <f>(AM61+AM73+AM91+AM102+AM113)</f>
        <v>5639</v>
      </c>
      <c r="AN124" s="35">
        <f>(AM124/AM115)</f>
        <v>0.9158681175897353</v>
      </c>
      <c r="AP124" s="34">
        <f>(AP61+AP73+AP91+AP102+AP113)</f>
        <v>5430</v>
      </c>
      <c r="AQ124" s="35">
        <f>(AP124/AP115)</f>
        <v>0.91414141414141414</v>
      </c>
      <c r="AS124" s="34">
        <f>(AS61+AS73+AS91+AS102+AS113)</f>
        <v>5605</v>
      </c>
      <c r="AT124" s="35">
        <f>(AS124/AS115)</f>
        <v>0.90945967872789224</v>
      </c>
      <c r="AV124" s="34">
        <f>(AV61+AV73+AV91+AV102+AV113)</f>
        <v>5515</v>
      </c>
      <c r="AW124" s="35">
        <f>(AV124/AV115)</f>
        <v>0.90781893004115222</v>
      </c>
      <c r="AY124" s="34">
        <f>(AY61+AY73+AY91+AY102+AY113)</f>
        <v>5490</v>
      </c>
      <c r="AZ124" s="35">
        <f>(AY124/AY115)</f>
        <v>0.90894039735099341</v>
      </c>
      <c r="BB124" s="34">
        <f>(BB61+BB73+BB91+BB102+BB113)</f>
        <v>5446</v>
      </c>
      <c r="BC124" s="35">
        <f>(BB124/BB115)</f>
        <v>0.89927344782034346</v>
      </c>
      <c r="BE124" s="34">
        <f>(BE61+BE73+BE91+BE102+BE113)</f>
        <v>5445</v>
      </c>
      <c r="BF124" s="35">
        <f>(BE124/BE115)</f>
        <v>0.89511754068716098</v>
      </c>
      <c r="BH124" s="34">
        <f>(BH61+BH73+BH91+BH102+BH113)</f>
        <v>5516</v>
      </c>
      <c r="BI124" s="35">
        <f>(BH124/BH115)</f>
        <v>0.89429312581063558</v>
      </c>
      <c r="BK124" s="34">
        <f>(BK61+BK73+BK91+BK102+BK113)</f>
        <v>5447</v>
      </c>
      <c r="BL124" s="35">
        <f>(BK124/BK115)</f>
        <v>0.88988727332135276</v>
      </c>
      <c r="BN124" s="34">
        <f>(BN61+BN73+BN91+BN102+BN113)</f>
        <v>5131</v>
      </c>
      <c r="BO124" s="35">
        <f>(BN124/BN115)</f>
        <v>0.88587707182320441</v>
      </c>
      <c r="BQ124" s="34">
        <f>(BQ61+BQ73+BQ91+BQ102+BQ113)</f>
        <v>5159</v>
      </c>
      <c r="BR124" s="35">
        <f>(BQ124/BQ115)</f>
        <v>0.88112724167378309</v>
      </c>
      <c r="BT124" s="34">
        <f>(BT61+BT73+BT91+BT102+BT113)</f>
        <v>5268</v>
      </c>
      <c r="BU124" s="35">
        <f>(BT124/BT115)</f>
        <v>0.87756121939030485</v>
      </c>
      <c r="BW124" s="34">
        <f>(BW61+BW73+BW91+BW102+BW113)</f>
        <v>5363</v>
      </c>
      <c r="BX124" s="35">
        <f>(BW124/BW115)</f>
        <v>0.8767369625633481</v>
      </c>
      <c r="BZ124" s="34">
        <f>(BZ61+BZ73+BZ91+BZ102+BZ113)</f>
        <v>5412</v>
      </c>
      <c r="CA124" s="35">
        <f>(BZ124/BZ115)</f>
        <v>0.87023637240713936</v>
      </c>
      <c r="CC124" s="34">
        <f>(CC61+CC73+CC91+CC102+CC113)</f>
        <v>5519</v>
      </c>
      <c r="CD124" s="35">
        <f>(CC124/CC115)</f>
        <v>0.8639636819035692</v>
      </c>
      <c r="CF124" s="34">
        <f>(CF61+CF73+CF91+CF102+CF113)</f>
        <v>5537</v>
      </c>
      <c r="CG124" s="35">
        <f>(CF124/CF115)</f>
        <v>0.85725344480569743</v>
      </c>
      <c r="CI124" s="34">
        <f>CI113+CI102+CI91+CI73+CI61</f>
        <v>5539</v>
      </c>
      <c r="CJ124" s="35">
        <f>CI124/CI115</f>
        <v>0.85149884704073786</v>
      </c>
      <c r="CL124" s="34">
        <f>CL113+CL102+CL91+CL73+CL61</f>
        <v>5487</v>
      </c>
      <c r="CM124" s="35">
        <f t="shared" si="135"/>
        <v>0.84597594819611466</v>
      </c>
      <c r="CO124" s="86">
        <f>CO113+CO102+CO91+CO73+CO61</f>
        <v>5484</v>
      </c>
      <c r="CP124" s="35">
        <f t="shared" si="132"/>
        <v>0.85969587709672357</v>
      </c>
      <c r="CR124" s="34">
        <f>CR113+CR102+CR91+CR73+CR61</f>
        <v>5516</v>
      </c>
      <c r="CS124" s="35">
        <f t="shared" si="133"/>
        <v>0.83817049080686823</v>
      </c>
      <c r="CU124" s="34">
        <f>CU113+CU102+CU91+CU73+CU61</f>
        <v>5305</v>
      </c>
      <c r="CV124" s="35">
        <f t="shared" si="139"/>
        <v>0.81552651806302845</v>
      </c>
      <c r="CX124" s="34">
        <f>CX113+CX102+CX91+CX73+CX61</f>
        <v>5443</v>
      </c>
      <c r="CY124" s="35">
        <f t="shared" si="134"/>
        <v>0.83674096848578017</v>
      </c>
      <c r="CZ124" s="34"/>
      <c r="DA124" s="34">
        <f>DA113+DA102+DA91+DA73+DA61</f>
        <v>5561</v>
      </c>
      <c r="DB124" s="35">
        <f t="shared" si="142"/>
        <v>0.83074394980579624</v>
      </c>
      <c r="DC124" s="34"/>
      <c r="DD124" s="34">
        <f>DD113+DD102+DD91+DD73+DD61</f>
        <v>5578</v>
      </c>
      <c r="DE124" s="35">
        <f t="shared" si="144"/>
        <v>0.83328353749626527</v>
      </c>
      <c r="DF124" s="34"/>
      <c r="DG124" s="34">
        <f>DG113+DG102+DG91+DG73+DG61</f>
        <v>5514</v>
      </c>
      <c r="DH124" s="35">
        <f t="shared" si="146"/>
        <v>0.82372273677920527</v>
      </c>
    </row>
    <row r="125" spans="1:112" s="33" customFormat="1" ht="10.15" customHeight="1">
      <c r="B125" s="129" t="s">
        <v>58</v>
      </c>
      <c r="C125" s="129"/>
      <c r="D125" s="129"/>
      <c r="E125" s="129"/>
      <c r="F125" s="41"/>
      <c r="G125" s="38"/>
      <c r="H125" s="41"/>
      <c r="I125" s="41"/>
      <c r="J125" s="38"/>
      <c r="K125" s="39"/>
      <c r="L125" s="41"/>
      <c r="M125" s="38"/>
      <c r="N125" s="40"/>
      <c r="O125" s="41"/>
      <c r="P125" s="38"/>
      <c r="Q125" s="40"/>
      <c r="R125" s="41"/>
      <c r="S125" s="38"/>
      <c r="T125" s="40"/>
      <c r="U125" s="41"/>
      <c r="V125" s="38"/>
      <c r="W125" s="40"/>
      <c r="X125" s="41"/>
      <c r="Y125" s="38"/>
      <c r="Z125" s="40"/>
      <c r="AA125" s="41"/>
      <c r="AB125" s="38"/>
      <c r="AC125" s="40"/>
      <c r="AD125" s="41"/>
      <c r="AE125" s="38"/>
      <c r="AF125" s="40"/>
      <c r="AG125" s="41"/>
      <c r="AH125" s="38"/>
      <c r="AI125" s="40"/>
      <c r="AJ125" s="41"/>
      <c r="AK125" s="38"/>
      <c r="AL125" s="40"/>
      <c r="AM125" s="41"/>
      <c r="AN125" s="38"/>
      <c r="AP125" s="41"/>
      <c r="AQ125" s="38"/>
      <c r="AS125" s="41"/>
      <c r="AT125" s="38"/>
      <c r="AV125" s="41"/>
      <c r="AW125" s="38"/>
      <c r="AY125" s="41"/>
      <c r="AZ125" s="38"/>
      <c r="BB125" s="41"/>
      <c r="BC125" s="38"/>
      <c r="BE125" s="41"/>
      <c r="BF125" s="38"/>
      <c r="BH125" s="41"/>
      <c r="BI125" s="38"/>
      <c r="BK125" s="41"/>
      <c r="BL125" s="38"/>
      <c r="BN125" s="41"/>
      <c r="BO125" s="38"/>
      <c r="BQ125" s="41"/>
      <c r="BR125" s="38"/>
      <c r="BT125" s="41"/>
      <c r="BU125" s="38"/>
      <c r="BW125" s="41"/>
      <c r="BX125" s="38"/>
      <c r="BZ125" s="41"/>
      <c r="CA125" s="38"/>
      <c r="CC125" s="91" t="s">
        <v>59</v>
      </c>
      <c r="CD125" s="91" t="s">
        <v>60</v>
      </c>
      <c r="CF125" s="91" t="s">
        <v>59</v>
      </c>
      <c r="CG125" s="91" t="s">
        <v>61</v>
      </c>
      <c r="CI125" s="91" t="s">
        <v>59</v>
      </c>
      <c r="CJ125" s="91" t="s">
        <v>62</v>
      </c>
      <c r="CL125" s="91" t="s">
        <v>59</v>
      </c>
      <c r="CM125" s="91" t="s">
        <v>63</v>
      </c>
      <c r="CO125" s="87">
        <f>CO114+CO103+CO92+CO74+CO62</f>
        <v>29</v>
      </c>
      <c r="CP125" s="38">
        <f t="shared" si="132"/>
        <v>4.546167110832419E-3</v>
      </c>
      <c r="CR125" s="41">
        <f>CR114+CR103+CR92+CR74+CR62</f>
        <v>24</v>
      </c>
      <c r="CS125" s="38">
        <f t="shared" si="133"/>
        <v>3.6468621790001518E-3</v>
      </c>
      <c r="CU125" s="41">
        <f>CU114+CU103+CU92+CU74+CU62</f>
        <v>4</v>
      </c>
      <c r="CV125" s="38">
        <f t="shared" si="139"/>
        <v>6.1491160645657191E-4</v>
      </c>
      <c r="CX125" s="41">
        <f>CX114+CX103+CX92+CX74+CX62</f>
        <v>12</v>
      </c>
      <c r="CY125" s="38">
        <f t="shared" si="134"/>
        <v>1.8447348193697155E-3</v>
      </c>
      <c r="CZ125" s="41"/>
      <c r="DA125" s="41">
        <f>DA114+DA103+DA92+DA74+DA62</f>
        <v>2</v>
      </c>
      <c r="DB125" s="35">
        <f t="shared" si="142"/>
        <v>2.9877502240812666E-4</v>
      </c>
      <c r="DC125" s="41"/>
      <c r="DD125" s="41">
        <f>DD114+DD103+DD92+DD74+DD62</f>
        <v>3</v>
      </c>
      <c r="DE125" s="35">
        <f t="shared" si="144"/>
        <v>4.4816253361219002E-4</v>
      </c>
      <c r="DF125" s="41"/>
      <c r="DG125" s="41">
        <f>DG114+DG103+DG92+DG74+DG62</f>
        <v>0</v>
      </c>
      <c r="DH125" s="35">
        <f t="shared" si="146"/>
        <v>0</v>
      </c>
    </row>
    <row r="126" spans="1:112" s="33" customFormat="1" ht="13.5" customHeight="1">
      <c r="B126" s="103"/>
      <c r="C126" s="103"/>
      <c r="D126" s="103"/>
      <c r="E126" s="103"/>
      <c r="F126" s="41"/>
      <c r="G126" s="38"/>
      <c r="H126" s="41"/>
      <c r="I126" s="41"/>
      <c r="J126" s="38"/>
      <c r="K126" s="39"/>
      <c r="L126" s="41"/>
      <c r="M126" s="38"/>
      <c r="N126" s="40"/>
      <c r="O126" s="41"/>
      <c r="P126" s="38"/>
      <c r="Q126" s="40"/>
      <c r="R126" s="41"/>
      <c r="S126" s="38"/>
      <c r="T126" s="40"/>
      <c r="U126" s="41"/>
      <c r="V126" s="38"/>
      <c r="W126" s="40"/>
      <c r="X126" s="41"/>
      <c r="Y126" s="38"/>
      <c r="Z126" s="40"/>
      <c r="AA126" s="41"/>
      <c r="AB126" s="38"/>
      <c r="AC126" s="40"/>
      <c r="AD126" s="41"/>
      <c r="AE126" s="38"/>
      <c r="AF126" s="40"/>
      <c r="AG126" s="41"/>
      <c r="AH126" s="38"/>
      <c r="AI126" s="40"/>
      <c r="AJ126" s="41"/>
      <c r="AK126" s="38"/>
      <c r="AL126" s="40"/>
      <c r="AM126" s="41"/>
      <c r="AN126" s="38"/>
      <c r="AP126" s="41"/>
      <c r="AQ126" s="38"/>
      <c r="AS126" s="41"/>
      <c r="AT126" s="38"/>
      <c r="AV126" s="41"/>
      <c r="AW126" s="38"/>
      <c r="AY126" s="41"/>
      <c r="AZ126" s="38"/>
      <c r="BB126" s="41"/>
      <c r="BC126" s="38"/>
      <c r="BE126" s="41"/>
      <c r="BF126" s="38"/>
      <c r="BH126" s="41"/>
      <c r="BI126" s="38"/>
      <c r="BK126" s="41"/>
      <c r="BL126" s="38"/>
      <c r="BN126" s="41"/>
      <c r="BO126" s="38"/>
      <c r="BQ126" s="41"/>
      <c r="BR126" s="38"/>
      <c r="BT126" s="41"/>
      <c r="BU126" s="38"/>
      <c r="BW126" s="41"/>
      <c r="BX126" s="38"/>
      <c r="BZ126" s="41"/>
      <c r="CA126" s="38"/>
      <c r="CC126" s="91"/>
      <c r="CD126" s="91"/>
      <c r="CF126" s="91"/>
      <c r="CG126" s="91"/>
      <c r="CI126" s="91"/>
      <c r="CJ126" s="91"/>
      <c r="CL126" s="91"/>
      <c r="CM126" s="91"/>
      <c r="CO126" s="41"/>
      <c r="CP126" s="38"/>
      <c r="CR126" s="91"/>
      <c r="CS126" s="91"/>
      <c r="CU126" s="91"/>
      <c r="CV126" s="91"/>
      <c r="CX126" s="91"/>
      <c r="CY126" s="91"/>
      <c r="CZ126" s="91"/>
      <c r="DA126" s="91"/>
      <c r="DB126" s="91"/>
      <c r="DC126" s="91"/>
      <c r="DD126" s="91"/>
      <c r="DE126" s="91"/>
      <c r="DF126" s="91"/>
      <c r="DG126" s="91"/>
      <c r="DH126" s="91"/>
    </row>
    <row r="127" spans="1:112" s="1" customFormat="1" ht="12" customHeight="1">
      <c r="F127" s="13"/>
      <c r="G127" s="10"/>
      <c r="H127" s="4"/>
      <c r="I127" s="13"/>
      <c r="J127" s="10"/>
      <c r="K127" s="4"/>
      <c r="L127" s="13"/>
      <c r="M127" s="10"/>
      <c r="N127" s="7"/>
      <c r="O127" s="13"/>
      <c r="P127" s="10"/>
      <c r="Q127" s="7"/>
      <c r="R127" s="13"/>
      <c r="S127" s="10"/>
      <c r="T127" s="7"/>
      <c r="U127" s="13"/>
      <c r="V127" s="10"/>
      <c r="W127" s="7"/>
      <c r="X127" s="13"/>
      <c r="Y127" s="10"/>
      <c r="Z127" s="7"/>
      <c r="AA127" s="13"/>
      <c r="AB127" s="10"/>
      <c r="AC127" s="7"/>
      <c r="AD127" s="13"/>
      <c r="AE127" s="10"/>
      <c r="AF127" s="7"/>
      <c r="AG127" s="13"/>
      <c r="AH127" s="10"/>
      <c r="AI127" s="7"/>
      <c r="AJ127" s="13"/>
      <c r="AK127" s="10"/>
      <c r="AL127" s="7"/>
      <c r="AM127" s="13"/>
      <c r="AN127" s="10"/>
      <c r="AP127" s="13"/>
      <c r="AQ127" s="10"/>
      <c r="AS127" s="13"/>
      <c r="AT127" s="10"/>
      <c r="AV127" s="13"/>
      <c r="AW127" s="10"/>
      <c r="AY127" s="13"/>
      <c r="AZ127" s="10"/>
      <c r="BB127" s="13"/>
      <c r="BC127" s="10"/>
      <c r="BE127" s="13"/>
      <c r="BF127" s="10"/>
      <c r="BH127" s="13"/>
      <c r="BI127" s="10"/>
      <c r="BK127" s="13"/>
      <c r="BL127" s="10"/>
      <c r="BN127" s="13"/>
      <c r="BO127" s="10"/>
      <c r="BQ127" s="13"/>
      <c r="BR127" s="10"/>
      <c r="BT127" s="13"/>
      <c r="BU127" s="10"/>
      <c r="BW127" s="13"/>
      <c r="BX127" s="10"/>
      <c r="BZ127" s="13"/>
      <c r="CA127" s="10"/>
      <c r="CC127" s="13"/>
      <c r="CD127" s="10"/>
      <c r="CF127" s="13"/>
      <c r="CG127" s="10"/>
      <c r="CI127" s="13"/>
      <c r="CJ127" s="10"/>
      <c r="CL127" s="13"/>
      <c r="CM127" s="10"/>
      <c r="CO127" s="13"/>
      <c r="CP127" s="10"/>
      <c r="CR127" s="13" t="s">
        <v>74</v>
      </c>
      <c r="CS127" s="10"/>
      <c r="CU127" s="13" t="s">
        <v>74</v>
      </c>
      <c r="CV127" s="10"/>
      <c r="CX127" s="13" t="s">
        <v>74</v>
      </c>
      <c r="CY127" s="13"/>
      <c r="CZ127" s="13"/>
      <c r="DA127" s="13"/>
      <c r="DB127" s="10"/>
      <c r="DC127" s="13"/>
      <c r="DD127" s="13"/>
      <c r="DE127" s="10"/>
      <c r="DF127" s="13"/>
      <c r="DG127" s="13"/>
      <c r="DH127" s="10"/>
    </row>
    <row r="128" spans="1:112" s="79" customFormat="1" ht="14.25" hidden="1" customHeight="1">
      <c r="A128" s="104" t="s">
        <v>87</v>
      </c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04"/>
      <c r="AL128" s="104"/>
      <c r="AM128" s="104"/>
      <c r="AN128" s="104"/>
      <c r="AO128" s="104"/>
      <c r="AP128" s="104"/>
      <c r="AQ128" s="104"/>
      <c r="AR128" s="104"/>
      <c r="AS128" s="104"/>
      <c r="AT128" s="104"/>
      <c r="AU128" s="104"/>
      <c r="AV128" s="104"/>
      <c r="AW128" s="104"/>
      <c r="AX128" s="104"/>
      <c r="AY128" s="104"/>
      <c r="AZ128" s="104"/>
      <c r="BA128" s="104"/>
      <c r="BB128" s="104"/>
      <c r="BC128" s="104"/>
      <c r="BD128" s="104"/>
      <c r="BE128" s="104"/>
      <c r="BF128" s="104"/>
      <c r="BG128" s="104"/>
      <c r="BH128" s="104"/>
      <c r="BI128" s="104"/>
      <c r="BJ128" s="104"/>
      <c r="BK128" s="104"/>
      <c r="BL128" s="104"/>
      <c r="BM128" s="104"/>
      <c r="BN128" s="104"/>
      <c r="BO128" s="104"/>
      <c r="BP128" s="104"/>
      <c r="BQ128" s="104"/>
      <c r="BR128" s="104"/>
      <c r="BS128" s="104"/>
      <c r="BT128" s="104"/>
      <c r="BU128" s="104"/>
      <c r="BV128" s="104"/>
      <c r="BW128" s="104"/>
      <c r="BX128" s="104"/>
      <c r="BY128" s="104"/>
      <c r="BZ128" s="104"/>
      <c r="CA128" s="104"/>
      <c r="CB128" s="104"/>
      <c r="CC128" s="104"/>
      <c r="CD128" s="104"/>
      <c r="CE128" s="104"/>
      <c r="CF128" s="77"/>
      <c r="CG128" s="78"/>
      <c r="CI128" s="77"/>
      <c r="CJ128" s="78"/>
      <c r="CL128" s="77"/>
      <c r="CM128" s="78"/>
      <c r="CO128" s="77"/>
      <c r="CP128" s="78"/>
      <c r="CR128" s="77"/>
      <c r="CS128" s="78"/>
      <c r="CU128" s="77"/>
      <c r="CV128" s="78"/>
      <c r="CX128" s="77"/>
      <c r="CY128" s="77"/>
      <c r="CZ128" s="77"/>
      <c r="DA128" s="77"/>
      <c r="DB128" s="78"/>
      <c r="DC128" s="77"/>
      <c r="DD128" s="77"/>
      <c r="DE128" s="78"/>
      <c r="DF128" s="77"/>
      <c r="DG128" s="77"/>
      <c r="DH128" s="78"/>
    </row>
    <row r="129" spans="1:112" s="79" customFormat="1" ht="15" hidden="1" customHeight="1">
      <c r="A129" s="102" t="s">
        <v>66</v>
      </c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/>
      <c r="AJ129" s="102"/>
      <c r="AK129" s="102"/>
      <c r="AL129" s="102"/>
      <c r="AM129" s="102"/>
      <c r="AN129" s="102"/>
      <c r="AO129" s="102"/>
      <c r="AP129" s="102"/>
      <c r="AQ129" s="102"/>
      <c r="AR129" s="102"/>
      <c r="AS129" s="102"/>
      <c r="AT129" s="102"/>
      <c r="AU129" s="102"/>
      <c r="AV129" s="102"/>
      <c r="AW129" s="102"/>
      <c r="AX129" s="102"/>
      <c r="AY129" s="102"/>
      <c r="AZ129" s="102"/>
      <c r="BA129" s="102"/>
      <c r="BB129" s="102"/>
      <c r="BC129" s="102"/>
      <c r="BD129" s="102"/>
      <c r="BE129" s="102"/>
      <c r="BF129" s="102"/>
      <c r="BG129" s="102"/>
      <c r="BH129" s="102"/>
      <c r="BI129" s="102"/>
      <c r="BJ129" s="102"/>
      <c r="BK129" s="102"/>
      <c r="BL129" s="102"/>
      <c r="BM129" s="102"/>
      <c r="BN129" s="102"/>
      <c r="BO129" s="102"/>
      <c r="BP129" s="102"/>
      <c r="BQ129" s="102"/>
      <c r="BR129" s="102"/>
      <c r="BS129" s="102"/>
      <c r="BT129" s="102"/>
      <c r="BU129" s="102"/>
      <c r="BV129" s="102"/>
      <c r="BW129" s="102"/>
      <c r="BX129" s="102"/>
      <c r="BY129" s="102"/>
      <c r="BZ129" s="102"/>
      <c r="CA129" s="102"/>
      <c r="CB129" s="102"/>
      <c r="CC129" s="102"/>
      <c r="CD129" s="102"/>
      <c r="CE129" s="102"/>
      <c r="CF129" s="77"/>
      <c r="CG129" s="78"/>
      <c r="CI129" s="77"/>
      <c r="CJ129" s="78"/>
      <c r="CL129" s="77"/>
      <c r="CM129" s="78"/>
      <c r="CO129" s="77"/>
      <c r="CP129" s="78"/>
      <c r="CR129" s="77"/>
      <c r="CS129" s="78"/>
      <c r="CU129" s="77"/>
      <c r="CV129" s="78"/>
      <c r="CX129" s="77"/>
      <c r="CY129" s="77"/>
      <c r="CZ129" s="77"/>
      <c r="DA129" s="77"/>
      <c r="DB129" s="78"/>
      <c r="DC129" s="77"/>
      <c r="DD129" s="77"/>
      <c r="DE129" s="78"/>
      <c r="DF129" s="77"/>
      <c r="DG129" s="77"/>
      <c r="DH129" s="78"/>
    </row>
    <row r="130" spans="1:112" s="79" customFormat="1" ht="12.75" hidden="1" customHeight="1">
      <c r="A130" s="101" t="s">
        <v>88</v>
      </c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100"/>
      <c r="AV130" s="100"/>
      <c r="AW130" s="100"/>
      <c r="AX130" s="100"/>
      <c r="AY130" s="100"/>
      <c r="AZ130" s="100"/>
      <c r="BA130" s="100"/>
      <c r="BB130" s="100"/>
      <c r="BC130" s="100"/>
      <c r="BD130" s="100"/>
      <c r="BE130" s="100"/>
      <c r="BF130" s="100"/>
      <c r="BG130" s="100"/>
      <c r="BH130" s="100"/>
      <c r="BI130" s="100"/>
      <c r="BJ130" s="100"/>
      <c r="BK130" s="100"/>
      <c r="BL130" s="100"/>
      <c r="BM130" s="100"/>
      <c r="BN130" s="100"/>
      <c r="BO130" s="100"/>
      <c r="BP130" s="100"/>
      <c r="BQ130" s="100"/>
      <c r="BR130" s="100"/>
      <c r="BS130" s="100"/>
      <c r="BT130" s="100"/>
      <c r="BU130" s="100"/>
      <c r="BV130" s="100"/>
      <c r="BW130" s="100"/>
      <c r="BX130" s="100"/>
      <c r="BY130" s="100"/>
      <c r="BZ130" s="100"/>
      <c r="CA130" s="100"/>
      <c r="CB130" s="100"/>
      <c r="CC130" s="100"/>
      <c r="CD130" s="100"/>
      <c r="CE130" s="100"/>
      <c r="CF130" s="77"/>
      <c r="CG130" s="78"/>
      <c r="CI130" s="77"/>
      <c r="CJ130" s="78"/>
      <c r="CL130" s="77"/>
      <c r="CM130" s="78"/>
      <c r="CO130" s="77"/>
      <c r="CP130" s="78"/>
      <c r="CR130" s="77"/>
      <c r="CS130" s="78"/>
      <c r="CU130" s="77"/>
      <c r="CV130" s="78"/>
      <c r="CX130" s="77"/>
      <c r="CY130" s="77"/>
      <c r="CZ130" s="77"/>
      <c r="DA130" s="77"/>
      <c r="DB130" s="78"/>
      <c r="DC130" s="77"/>
      <c r="DD130" s="77"/>
      <c r="DE130" s="78"/>
      <c r="DF130" s="77"/>
      <c r="DG130" s="77"/>
      <c r="DH130" s="78"/>
    </row>
    <row r="131" spans="1:112" s="73" customFormat="1" ht="15" customHeight="1">
      <c r="A131" s="72" t="s">
        <v>92</v>
      </c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  <c r="BG131" s="72"/>
      <c r="BH131" s="72"/>
      <c r="BI131" s="72"/>
      <c r="BJ131" s="72"/>
      <c r="BK131" s="72"/>
      <c r="BL131" s="72"/>
      <c r="BM131" s="72"/>
      <c r="BN131" s="72"/>
      <c r="BO131" s="72"/>
      <c r="BP131" s="72"/>
      <c r="BQ131" s="72"/>
      <c r="BR131" s="72"/>
      <c r="BS131" s="72"/>
      <c r="BT131" s="72"/>
      <c r="BU131" s="72"/>
      <c r="BV131" s="72"/>
      <c r="BW131" s="72"/>
      <c r="BX131" s="72"/>
      <c r="BY131" s="72"/>
      <c r="BZ131" s="72"/>
      <c r="CA131" s="72"/>
      <c r="CB131" s="72"/>
      <c r="CC131" s="72"/>
      <c r="CD131" s="72"/>
      <c r="CE131" s="72"/>
      <c r="CF131" s="72"/>
      <c r="CG131" s="72"/>
      <c r="CH131" s="72"/>
      <c r="CI131" s="72"/>
      <c r="CJ131" s="72"/>
      <c r="CK131" s="72"/>
      <c r="CL131" s="72"/>
      <c r="CM131" s="72"/>
      <c r="CN131" s="72"/>
      <c r="CO131" s="72"/>
      <c r="CP131" s="72"/>
      <c r="CQ131" s="72"/>
      <c r="CR131" s="72"/>
      <c r="CS131" s="72"/>
      <c r="CT131" s="72"/>
      <c r="CU131" s="72"/>
      <c r="CV131" s="72"/>
      <c r="CW131" s="72"/>
      <c r="CX131" s="72"/>
      <c r="CY131" s="72"/>
      <c r="CZ131" s="72"/>
      <c r="DA131" s="72"/>
      <c r="DB131" s="72"/>
      <c r="DC131" s="72"/>
      <c r="DD131" s="72"/>
      <c r="DE131" s="72"/>
      <c r="DF131" s="72"/>
      <c r="DG131" s="72"/>
      <c r="DH131" s="72"/>
    </row>
    <row r="132" spans="1:112" s="74" customFormat="1" ht="15" customHeight="1">
      <c r="A132" s="72" t="s">
        <v>91</v>
      </c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2"/>
      <c r="BG132" s="72"/>
      <c r="BH132" s="72"/>
      <c r="BI132" s="72"/>
      <c r="BJ132" s="72"/>
      <c r="BK132" s="72"/>
      <c r="BL132" s="72"/>
      <c r="BM132" s="72"/>
      <c r="BN132" s="72"/>
      <c r="BO132" s="72"/>
      <c r="BP132" s="72"/>
      <c r="BQ132" s="72"/>
      <c r="BR132" s="72"/>
      <c r="BS132" s="72"/>
      <c r="BT132" s="72"/>
      <c r="BU132" s="72"/>
      <c r="BV132" s="72"/>
      <c r="BW132" s="72"/>
      <c r="BX132" s="72"/>
      <c r="BY132" s="72"/>
      <c r="BZ132" s="72"/>
      <c r="CA132" s="72"/>
      <c r="CB132" s="72"/>
      <c r="CC132" s="72"/>
      <c r="CD132" s="72"/>
      <c r="CE132" s="72"/>
      <c r="CF132" s="72"/>
      <c r="CG132" s="72"/>
      <c r="CH132" s="72"/>
      <c r="CI132" s="72"/>
      <c r="CJ132" s="72"/>
      <c r="CK132" s="72"/>
      <c r="CL132" s="72"/>
      <c r="CM132" s="72"/>
      <c r="CN132" s="72"/>
      <c r="CO132" s="72"/>
      <c r="CP132" s="72"/>
      <c r="CQ132" s="72"/>
      <c r="CR132" s="72"/>
      <c r="CS132" s="72"/>
      <c r="CT132" s="72"/>
      <c r="CU132" s="72"/>
      <c r="CV132" s="72"/>
      <c r="CW132" s="72"/>
      <c r="CX132" s="72"/>
      <c r="CY132" s="72"/>
      <c r="CZ132" s="72"/>
      <c r="DA132" s="72"/>
      <c r="DB132" s="72"/>
      <c r="DC132" s="72"/>
      <c r="DD132" s="72"/>
      <c r="DE132" s="72"/>
      <c r="DF132" s="72"/>
      <c r="DG132" s="72"/>
      <c r="DH132" s="72"/>
    </row>
    <row r="133" spans="1:112" ht="15" customHeight="1">
      <c r="A133" s="19"/>
    </row>
    <row r="134" spans="1:112" ht="15" customHeight="1">
      <c r="A134" s="19"/>
      <c r="CP134" t="s">
        <v>75</v>
      </c>
    </row>
    <row r="135" spans="1:112" ht="15" customHeight="1">
      <c r="A135" s="125" t="s">
        <v>52</v>
      </c>
      <c r="B135" s="125"/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  <c r="AA135" s="125"/>
      <c r="AB135" s="125"/>
      <c r="AC135" s="125"/>
      <c r="AD135" s="125"/>
      <c r="AE135" s="125"/>
      <c r="AF135" s="125"/>
      <c r="AG135" s="125"/>
      <c r="AH135" s="125"/>
      <c r="AI135" s="125"/>
      <c r="AJ135" s="125"/>
      <c r="AK135" s="125"/>
      <c r="AL135" s="125"/>
      <c r="AM135" s="125"/>
      <c r="AN135" s="125"/>
      <c r="AO135" s="125"/>
      <c r="AP135" s="125"/>
      <c r="AQ135" s="125"/>
      <c r="AR135" s="125"/>
      <c r="AS135" s="125"/>
      <c r="AT135" s="125"/>
      <c r="AU135" s="125"/>
      <c r="AV135" s="125"/>
      <c r="AW135" s="125"/>
      <c r="AX135" s="125"/>
      <c r="AY135" s="125"/>
      <c r="AZ135" s="125"/>
      <c r="BA135" s="125"/>
      <c r="BB135" s="125"/>
      <c r="BC135" s="125"/>
      <c r="BD135" s="125"/>
      <c r="BE135" s="125"/>
      <c r="BF135" s="125"/>
      <c r="BG135" s="125"/>
      <c r="BH135" s="125"/>
      <c r="BI135" s="125"/>
      <c r="BJ135" s="125"/>
      <c r="BK135" s="125"/>
      <c r="BL135" s="125"/>
      <c r="BM135" s="125"/>
      <c r="BN135" s="125"/>
      <c r="BO135" s="125"/>
      <c r="BP135" s="125"/>
      <c r="BQ135" s="125"/>
      <c r="BR135" s="125"/>
      <c r="BS135" s="125"/>
      <c r="BT135" s="125"/>
      <c r="BU135" s="125"/>
      <c r="BV135" s="125"/>
      <c r="BW135" s="125"/>
      <c r="BX135" s="125"/>
      <c r="BY135" s="125"/>
      <c r="BZ135" s="125"/>
      <c r="CA135" s="125"/>
      <c r="CB135" s="125"/>
      <c r="CC135" s="125"/>
      <c r="CD135" s="125"/>
      <c r="CE135" s="125"/>
      <c r="CF135" s="125"/>
      <c r="CG135" s="125"/>
      <c r="CH135" s="125"/>
      <c r="CI135" s="125"/>
      <c r="CJ135" s="125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</row>
    <row r="136" spans="1:112" s="17" customFormat="1" ht="15" customHeight="1">
      <c r="A136" s="17" t="s">
        <v>0</v>
      </c>
    </row>
    <row r="137" spans="1:112" s="15" customFormat="1" ht="24" customHeight="1">
      <c r="A137" s="75" t="s">
        <v>84</v>
      </c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  <c r="AV137" s="75"/>
      <c r="AW137" s="75"/>
      <c r="AX137" s="75"/>
      <c r="AY137" s="75"/>
      <c r="AZ137" s="75"/>
      <c r="BA137" s="75"/>
      <c r="BB137" s="75"/>
      <c r="BC137" s="75"/>
      <c r="BD137" s="75"/>
      <c r="BE137" s="75"/>
      <c r="BF137" s="75"/>
      <c r="BG137" s="75"/>
      <c r="BH137" s="75"/>
      <c r="BI137" s="75"/>
      <c r="BJ137" s="75"/>
      <c r="BK137" s="75"/>
      <c r="BL137" s="75"/>
      <c r="BM137" s="75"/>
      <c r="BN137" s="75"/>
      <c r="BO137" s="75"/>
      <c r="BP137" s="75"/>
      <c r="BQ137" s="75"/>
      <c r="BR137" s="75"/>
      <c r="BS137" s="75"/>
      <c r="BT137" s="75"/>
      <c r="BU137" s="75"/>
      <c r="BV137" s="75"/>
      <c r="BW137" s="75"/>
      <c r="BX137" s="75"/>
      <c r="BY137" s="75"/>
      <c r="BZ137" s="75"/>
      <c r="CA137" s="75"/>
      <c r="CB137" s="75"/>
      <c r="CC137" s="75"/>
      <c r="CD137" s="75"/>
      <c r="CE137" s="75"/>
    </row>
    <row r="138" spans="1:112" s="45" customFormat="1" ht="15" customHeight="1">
      <c r="A138" s="72" t="s">
        <v>44</v>
      </c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2"/>
      <c r="BP138" s="72"/>
      <c r="BQ138" s="72"/>
      <c r="BR138" s="72"/>
      <c r="BS138" s="72"/>
      <c r="BT138" s="72"/>
      <c r="BU138" s="72"/>
      <c r="BV138" s="72"/>
      <c r="BW138" s="72"/>
      <c r="BX138" s="72"/>
      <c r="BY138" s="72"/>
      <c r="BZ138" s="72"/>
      <c r="CA138" s="72"/>
      <c r="CB138" s="72"/>
      <c r="CC138" s="72"/>
      <c r="CD138" s="72"/>
      <c r="CE138" s="72"/>
    </row>
    <row r="139" spans="1:112" s="2" customFormat="1" ht="12" customHeight="1">
      <c r="A139" s="16"/>
      <c r="B139" s="16"/>
      <c r="C139" s="16"/>
      <c r="D139" s="16"/>
      <c r="E139" s="16"/>
      <c r="F139" s="12"/>
      <c r="G139" s="11"/>
      <c r="H139" s="3"/>
      <c r="I139" s="12"/>
      <c r="J139" s="11"/>
      <c r="K139" s="5"/>
      <c r="L139" s="12"/>
      <c r="M139" s="11"/>
      <c r="N139" s="6"/>
      <c r="O139" s="12"/>
      <c r="P139" s="11"/>
      <c r="Q139" s="11"/>
      <c r="T139" s="11"/>
      <c r="W139" s="11"/>
      <c r="Z139" s="11"/>
      <c r="AC139" s="11"/>
      <c r="AF139" s="11"/>
      <c r="AI139" s="11"/>
      <c r="AL139" s="11"/>
    </row>
    <row r="140" spans="1:112" ht="12.75" customHeight="1"/>
    <row r="141" spans="1:112" ht="12.75" customHeight="1"/>
    <row r="142" spans="1:112" ht="12.75" customHeight="1"/>
    <row r="143" spans="1:112" ht="12.75" customHeight="1"/>
    <row r="144" spans="1:112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spans="1:112" ht="12.75" customHeight="1"/>
    <row r="194" spans="1:112" s="79" customFormat="1" ht="14.25" customHeight="1">
      <c r="B194" s="99"/>
      <c r="C194" s="99"/>
      <c r="D194" s="99"/>
      <c r="E194" s="99" t="s">
        <v>89</v>
      </c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  <c r="AR194" s="99"/>
      <c r="AS194" s="99"/>
      <c r="AT194" s="99"/>
      <c r="AU194" s="99"/>
      <c r="AV194" s="99"/>
      <c r="AW194" s="99"/>
      <c r="AX194" s="99"/>
      <c r="AY194" s="99"/>
      <c r="AZ194" s="99"/>
      <c r="BA194" s="99"/>
      <c r="BB194" s="99"/>
      <c r="BC194" s="99"/>
      <c r="BD194" s="99"/>
      <c r="BE194" s="99"/>
      <c r="BF194" s="99"/>
      <c r="BG194" s="99"/>
      <c r="BH194" s="99"/>
      <c r="BI194" s="99"/>
      <c r="BJ194" s="99"/>
      <c r="BK194" s="99"/>
      <c r="BL194" s="99"/>
      <c r="BM194" s="99"/>
      <c r="BN194" s="99"/>
      <c r="BO194" s="99"/>
      <c r="BP194" s="99"/>
      <c r="BQ194" s="99"/>
      <c r="BR194" s="99"/>
      <c r="BS194" s="99"/>
      <c r="BT194" s="99"/>
      <c r="BU194" s="99"/>
      <c r="BV194" s="99"/>
      <c r="BW194" s="99"/>
      <c r="BX194" s="99"/>
      <c r="BY194" s="99"/>
      <c r="BZ194" s="99"/>
      <c r="CA194" s="99"/>
      <c r="CB194" s="99"/>
      <c r="CC194" s="99"/>
      <c r="CD194" s="99"/>
      <c r="CE194" s="99"/>
      <c r="CF194" s="77"/>
      <c r="CG194" s="78"/>
      <c r="CI194" s="77"/>
      <c r="CJ194" s="78"/>
      <c r="CL194" s="77"/>
      <c r="CM194" s="78"/>
      <c r="CO194" s="77"/>
      <c r="CP194" s="78"/>
      <c r="CR194" s="77"/>
      <c r="CS194" s="78"/>
      <c r="CU194" s="77"/>
      <c r="CV194" s="78"/>
      <c r="CX194" s="77"/>
      <c r="CY194" s="77"/>
      <c r="CZ194" s="77"/>
      <c r="DA194" s="77"/>
      <c r="DB194" s="78"/>
      <c r="DC194" s="77"/>
      <c r="DD194" s="77"/>
      <c r="DE194" s="78"/>
      <c r="DF194" s="77"/>
      <c r="DG194" s="77"/>
      <c r="DH194" s="78"/>
    </row>
    <row r="195" spans="1:112" s="79" customFormat="1" ht="14.25" customHeight="1">
      <c r="B195" s="99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  <c r="AR195" s="99"/>
      <c r="AS195" s="99"/>
      <c r="AT195" s="99"/>
      <c r="AU195" s="99"/>
      <c r="AV195" s="99"/>
      <c r="AW195" s="99"/>
      <c r="AX195" s="99"/>
      <c r="AY195" s="99"/>
      <c r="AZ195" s="99"/>
      <c r="BA195" s="99"/>
      <c r="BB195" s="99"/>
      <c r="BC195" s="99"/>
      <c r="BD195" s="99"/>
      <c r="BE195" s="99"/>
      <c r="BF195" s="99"/>
      <c r="BG195" s="99"/>
      <c r="BH195" s="99"/>
      <c r="BI195" s="99"/>
      <c r="BJ195" s="99"/>
      <c r="BK195" s="99"/>
      <c r="BL195" s="99"/>
      <c r="BM195" s="99"/>
      <c r="BN195" s="99"/>
      <c r="BO195" s="99"/>
      <c r="BP195" s="99"/>
      <c r="BQ195" s="99"/>
      <c r="BR195" s="99"/>
      <c r="BS195" s="99"/>
      <c r="BT195" s="99"/>
      <c r="BU195" s="99"/>
      <c r="BV195" s="99"/>
      <c r="BW195" s="99"/>
      <c r="BX195" s="99"/>
      <c r="BY195" s="99"/>
      <c r="BZ195" s="99"/>
      <c r="CA195" s="99"/>
      <c r="CB195" s="99"/>
      <c r="CC195" s="99"/>
      <c r="CD195" s="99"/>
      <c r="CE195" s="99"/>
      <c r="CF195" s="77"/>
      <c r="CG195" s="78"/>
      <c r="CI195" s="77"/>
      <c r="CJ195" s="78"/>
      <c r="CL195" s="77"/>
      <c r="CM195" s="78"/>
      <c r="CO195" s="77"/>
      <c r="CP195" s="78"/>
      <c r="CR195" s="77"/>
      <c r="CS195" s="78"/>
      <c r="CU195" s="77"/>
      <c r="CV195" s="78"/>
      <c r="CX195" s="77"/>
      <c r="CY195" s="77"/>
      <c r="CZ195" s="77"/>
      <c r="DA195" s="77"/>
      <c r="DB195" s="78"/>
      <c r="DC195" s="77"/>
      <c r="DD195" s="77"/>
      <c r="DE195" s="78"/>
      <c r="DF195" s="77"/>
      <c r="DG195" s="77"/>
      <c r="DH195" s="78"/>
    </row>
    <row r="196" spans="1:112" ht="12.75" customHeight="1"/>
    <row r="197" spans="1:112" s="73" customFormat="1" ht="15" customHeight="1">
      <c r="A197" s="72" t="s">
        <v>45</v>
      </c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  <c r="AT197" s="72"/>
      <c r="AU197" s="72"/>
      <c r="AV197" s="72"/>
      <c r="AW197" s="72"/>
      <c r="AX197" s="72"/>
      <c r="AY197" s="72"/>
      <c r="AZ197" s="72"/>
      <c r="BA197" s="72"/>
      <c r="BB197" s="72"/>
      <c r="BC197" s="72"/>
      <c r="BD197" s="72"/>
      <c r="BE197" s="72"/>
      <c r="BF197" s="72"/>
      <c r="BG197" s="72"/>
      <c r="BH197" s="72"/>
      <c r="BI197" s="72"/>
      <c r="BJ197" s="72"/>
      <c r="BK197" s="72"/>
      <c r="BL197" s="72"/>
      <c r="BM197" s="72"/>
      <c r="BN197" s="72"/>
      <c r="BO197" s="72"/>
      <c r="BP197" s="72"/>
      <c r="BQ197" s="72"/>
      <c r="BR197" s="72"/>
      <c r="BS197" s="72"/>
      <c r="BT197" s="72"/>
      <c r="BU197" s="72"/>
      <c r="BV197" s="72"/>
      <c r="BW197" s="72"/>
      <c r="BX197" s="72"/>
      <c r="BY197" s="72"/>
      <c r="BZ197" s="72"/>
      <c r="CA197" s="72"/>
      <c r="CB197" s="72"/>
      <c r="CC197" s="72"/>
      <c r="CD197" s="72"/>
      <c r="CE197" s="72"/>
      <c r="CF197" s="72"/>
      <c r="CG197" s="72"/>
      <c r="CH197" s="72"/>
      <c r="CI197" s="72"/>
      <c r="CJ197" s="72"/>
      <c r="CK197" s="72"/>
      <c r="CL197" s="72"/>
      <c r="CM197" s="72"/>
      <c r="CN197" s="72"/>
      <c r="CO197" s="72"/>
      <c r="CP197" s="72"/>
      <c r="CQ197" s="72"/>
      <c r="CR197" s="72"/>
      <c r="CS197" s="72"/>
      <c r="CT197" s="72"/>
      <c r="CU197" s="72"/>
      <c r="CV197" s="72"/>
      <c r="CW197" s="72"/>
      <c r="CX197" s="72"/>
      <c r="CY197" s="72"/>
      <c r="CZ197" s="72"/>
      <c r="DA197" s="72"/>
      <c r="DB197" s="72"/>
      <c r="DC197" s="72"/>
      <c r="DD197" s="72"/>
      <c r="DE197" s="72"/>
      <c r="DF197" s="72"/>
      <c r="DG197" s="72"/>
      <c r="DH197" s="72"/>
    </row>
    <row r="198" spans="1:112" s="74" customFormat="1" ht="15" customHeight="1">
      <c r="A198" s="72" t="s">
        <v>91</v>
      </c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2"/>
      <c r="BG198" s="72"/>
      <c r="BH198" s="72"/>
      <c r="BI198" s="72"/>
      <c r="BJ198" s="72"/>
      <c r="BK198" s="72"/>
      <c r="BL198" s="72"/>
      <c r="BM198" s="72"/>
      <c r="BN198" s="72"/>
      <c r="BO198" s="72"/>
      <c r="BP198" s="72"/>
      <c r="BQ198" s="72"/>
      <c r="BR198" s="72"/>
      <c r="BS198" s="72"/>
      <c r="BT198" s="72"/>
      <c r="BU198" s="72"/>
      <c r="BV198" s="72"/>
      <c r="BW198" s="72"/>
      <c r="BX198" s="72"/>
      <c r="BY198" s="72"/>
      <c r="BZ198" s="72"/>
      <c r="CA198" s="72"/>
      <c r="CB198" s="72"/>
      <c r="CC198" s="72"/>
      <c r="CD198" s="72"/>
      <c r="CE198" s="72"/>
      <c r="CF198" s="72"/>
      <c r="CG198" s="72"/>
      <c r="CH198" s="72"/>
      <c r="CI198" s="72"/>
      <c r="CJ198" s="72"/>
      <c r="CK198" s="72"/>
      <c r="CL198" s="72"/>
      <c r="CM198" s="72"/>
      <c r="CN198" s="72"/>
      <c r="CO198" s="72"/>
      <c r="CP198" s="72"/>
      <c r="CQ198" s="72"/>
      <c r="CR198" s="72"/>
      <c r="CS198" s="72"/>
      <c r="CT198" s="72"/>
      <c r="CU198" s="72"/>
      <c r="CV198" s="72"/>
      <c r="CW198" s="72"/>
      <c r="CX198" s="72"/>
      <c r="CY198" s="72"/>
      <c r="CZ198" s="72"/>
      <c r="DA198" s="72"/>
      <c r="DB198" s="72"/>
      <c r="DC198" s="72"/>
      <c r="DD198" s="72"/>
      <c r="DE198" s="72"/>
      <c r="DF198" s="72"/>
      <c r="DG198" s="72"/>
      <c r="DH198" s="72"/>
    </row>
    <row r="199" spans="1:112" ht="12.75" customHeight="1"/>
    <row r="200" spans="1:112" ht="12.75" customHeight="1"/>
    <row r="201" spans="1:112" ht="12.75" customHeight="1"/>
    <row r="202" spans="1:112" ht="12.75" customHeight="1"/>
    <row r="203" spans="1:112" ht="12.75" customHeight="1"/>
    <row r="204" spans="1:112" ht="12.75" customHeight="1"/>
    <row r="205" spans="1:112" ht="12.75" customHeight="1"/>
    <row r="206" spans="1:112" ht="12.75" customHeight="1"/>
    <row r="207" spans="1:112" ht="12.75" customHeight="1"/>
    <row r="208" spans="1:112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</sheetData>
  <mergeCells count="133">
    <mergeCell ref="B84:E84"/>
    <mergeCell ref="B85:E85"/>
    <mergeCell ref="B86:E86"/>
    <mergeCell ref="CF80:CG80"/>
    <mergeCell ref="CI80:CJ80"/>
    <mergeCell ref="BK80:BL80"/>
    <mergeCell ref="B106:E106"/>
    <mergeCell ref="B107:E107"/>
    <mergeCell ref="B108:E108"/>
    <mergeCell ref="BW80:BX80"/>
    <mergeCell ref="AP80:AQ80"/>
    <mergeCell ref="AS80:AT80"/>
    <mergeCell ref="AV80:AW80"/>
    <mergeCell ref="AY80:AZ80"/>
    <mergeCell ref="BB80:BC80"/>
    <mergeCell ref="BE80:BF80"/>
    <mergeCell ref="BH80:BI80"/>
    <mergeCell ref="BZ80:CA80"/>
    <mergeCell ref="B100:E100"/>
    <mergeCell ref="B96:E96"/>
    <mergeCell ref="B97:E97"/>
    <mergeCell ref="B87:E87"/>
    <mergeCell ref="A82:E82"/>
    <mergeCell ref="A104:E104"/>
    <mergeCell ref="CO5:CP5"/>
    <mergeCell ref="CO80:CP80"/>
    <mergeCell ref="CC80:CD80"/>
    <mergeCell ref="B125:E125"/>
    <mergeCell ref="CL5:CM5"/>
    <mergeCell ref="CL80:CM80"/>
    <mergeCell ref="B18:E18"/>
    <mergeCell ref="B29:E29"/>
    <mergeCell ref="B51:E51"/>
    <mergeCell ref="B62:E62"/>
    <mergeCell ref="B74:E74"/>
    <mergeCell ref="B92:E92"/>
    <mergeCell ref="B98:E98"/>
    <mergeCell ref="B99:E99"/>
    <mergeCell ref="C101:E101"/>
    <mergeCell ref="B88:E88"/>
    <mergeCell ref="C90:E90"/>
    <mergeCell ref="B94:E94"/>
    <mergeCell ref="B95:E95"/>
    <mergeCell ref="B103:E103"/>
    <mergeCell ref="B83:E83"/>
    <mergeCell ref="BN80:BO80"/>
    <mergeCell ref="BQ80:BR80"/>
    <mergeCell ref="BT80:BU80"/>
    <mergeCell ref="A135:CJ135"/>
    <mergeCell ref="C123:E123"/>
    <mergeCell ref="B117:E117"/>
    <mergeCell ref="B118:E118"/>
    <mergeCell ref="B119:E119"/>
    <mergeCell ref="B120:E120"/>
    <mergeCell ref="B121:E121"/>
    <mergeCell ref="B109:E109"/>
    <mergeCell ref="B110:E110"/>
    <mergeCell ref="C112:E112"/>
    <mergeCell ref="B116:E116"/>
    <mergeCell ref="B122:E122"/>
    <mergeCell ref="B114:E114"/>
    <mergeCell ref="A115:E115"/>
    <mergeCell ref="B9:E9"/>
    <mergeCell ref="B10:E10"/>
    <mergeCell ref="B11:E11"/>
    <mergeCell ref="B12:E12"/>
    <mergeCell ref="B13:E13"/>
    <mergeCell ref="B20:E20"/>
    <mergeCell ref="B21:E21"/>
    <mergeCell ref="B22:E22"/>
    <mergeCell ref="B14:E14"/>
    <mergeCell ref="C16:E16"/>
    <mergeCell ref="D36:E36"/>
    <mergeCell ref="B44:E44"/>
    <mergeCell ref="B45:E45"/>
    <mergeCell ref="B46:E46"/>
    <mergeCell ref="BZ5:CA5"/>
    <mergeCell ref="BW5:BX5"/>
    <mergeCell ref="BQ5:BR5"/>
    <mergeCell ref="AP5:AQ5"/>
    <mergeCell ref="AS5:AT5"/>
    <mergeCell ref="AV5:AW5"/>
    <mergeCell ref="AY5:AZ5"/>
    <mergeCell ref="B42:E42"/>
    <mergeCell ref="B43:E43"/>
    <mergeCell ref="BK5:BL5"/>
    <mergeCell ref="BN5:BO5"/>
    <mergeCell ref="B23:E23"/>
    <mergeCell ref="B24:E24"/>
    <mergeCell ref="B25:E25"/>
    <mergeCell ref="C27:E27"/>
    <mergeCell ref="D31:E31"/>
    <mergeCell ref="D32:E32"/>
    <mergeCell ref="D33:E33"/>
    <mergeCell ref="D34:E34"/>
    <mergeCell ref="D35:E35"/>
    <mergeCell ref="B56:E56"/>
    <mergeCell ref="B57:E57"/>
    <mergeCell ref="B68:E68"/>
    <mergeCell ref="B69:E69"/>
    <mergeCell ref="B70:E70"/>
    <mergeCell ref="C72:E72"/>
    <mergeCell ref="B65:E65"/>
    <mergeCell ref="B66:E66"/>
    <mergeCell ref="B67:E67"/>
    <mergeCell ref="B58:E58"/>
    <mergeCell ref="C60:E60"/>
    <mergeCell ref="A63:E63"/>
    <mergeCell ref="A64:E64"/>
    <mergeCell ref="A93:E93"/>
    <mergeCell ref="B105:E105"/>
    <mergeCell ref="CU5:CV5"/>
    <mergeCell ref="CU80:CV80"/>
    <mergeCell ref="CR5:CS5"/>
    <mergeCell ref="CR80:CS80"/>
    <mergeCell ref="B47:E47"/>
    <mergeCell ref="C49:E49"/>
    <mergeCell ref="B53:E53"/>
    <mergeCell ref="B54:E54"/>
    <mergeCell ref="B55:E55"/>
    <mergeCell ref="CI5:CJ5"/>
    <mergeCell ref="A7:E7"/>
    <mergeCell ref="A8:E8"/>
    <mergeCell ref="A19:E19"/>
    <mergeCell ref="C30:E30"/>
    <mergeCell ref="A41:E41"/>
    <mergeCell ref="A52:E52"/>
    <mergeCell ref="CC5:CD5"/>
    <mergeCell ref="CF5:CG5"/>
    <mergeCell ref="BB5:BC5"/>
    <mergeCell ref="BH5:BI5"/>
    <mergeCell ref="BE5:BF5"/>
    <mergeCell ref="BT5:BU5"/>
  </mergeCells>
  <phoneticPr fontId="0" type="noConversion"/>
  <pageMargins left="0.5" right="0.5" top="0.5" bottom="0.5" header="0.3" footer="0.3"/>
  <pageSetup scale="83" fitToHeight="0" orientation="portrait" r:id="rId1"/>
  <headerFooter alignWithMargins="0"/>
  <rowBreaks count="2" manualBreakCount="2">
    <brk id="75" max="111" man="1"/>
    <brk id="135" max="111" man="1"/>
  </rowBreaks>
  <ignoredErrors>
    <ignoredError sqref="AM38:AY38 AM60:AY60 BK38 BN38 BK60 BN60 BT123:CF123 CI38 BZ38 BZ60 CC60 CF6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Normal="100" workbookViewId="0">
      <selection activeCell="M27" sqref="M27"/>
    </sheetView>
  </sheetViews>
  <sheetFormatPr defaultRowHeight="12.75"/>
  <cols>
    <col min="1" max="1" width="30.28515625" bestFit="1" customWidth="1"/>
  </cols>
  <sheetData>
    <row r="1" spans="1:14" ht="15.75">
      <c r="A1" s="131" t="s">
        <v>77</v>
      </c>
      <c r="B1" s="131"/>
      <c r="C1" s="131"/>
      <c r="D1" s="131"/>
      <c r="E1" s="131"/>
      <c r="F1" s="131"/>
      <c r="G1" s="131"/>
      <c r="H1" s="131"/>
      <c r="I1" s="131"/>
      <c r="J1" s="131"/>
    </row>
    <row r="3" spans="1:14">
      <c r="A3" s="20"/>
      <c r="B3" s="20">
        <v>2013</v>
      </c>
      <c r="C3" s="20">
        <v>2014</v>
      </c>
      <c r="D3" s="20">
        <v>2015</v>
      </c>
      <c r="E3" s="20">
        <v>2016</v>
      </c>
      <c r="F3" s="20">
        <v>2017</v>
      </c>
      <c r="G3" s="20">
        <v>2018</v>
      </c>
      <c r="H3" s="20">
        <v>2019</v>
      </c>
      <c r="I3" s="20">
        <v>2020</v>
      </c>
      <c r="J3" s="20">
        <v>2021</v>
      </c>
      <c r="K3" s="20">
        <v>2022</v>
      </c>
      <c r="L3" s="20">
        <v>2023</v>
      </c>
      <c r="M3" s="20">
        <v>2024</v>
      </c>
      <c r="N3" s="20">
        <v>2025</v>
      </c>
    </row>
    <row r="4" spans="1:14">
      <c r="A4" t="s">
        <v>55</v>
      </c>
      <c r="B4">
        <v>124</v>
      </c>
      <c r="C4">
        <v>139</v>
      </c>
      <c r="D4">
        <v>142</v>
      </c>
      <c r="E4">
        <v>147</v>
      </c>
      <c r="F4">
        <v>157</v>
      </c>
      <c r="G4">
        <v>162</v>
      </c>
      <c r="H4">
        <v>146</v>
      </c>
      <c r="I4">
        <v>146</v>
      </c>
      <c r="J4">
        <v>132</v>
      </c>
      <c r="K4">
        <v>138</v>
      </c>
      <c r="L4">
        <v>143</v>
      </c>
      <c r="M4">
        <v>157</v>
      </c>
      <c r="N4" s="114">
        <v>144</v>
      </c>
    </row>
    <row r="5" spans="1:14">
      <c r="A5" s="18" t="s">
        <v>80</v>
      </c>
      <c r="B5">
        <v>13</v>
      </c>
      <c r="C5">
        <v>18</v>
      </c>
      <c r="D5">
        <v>14</v>
      </c>
      <c r="E5">
        <v>16</v>
      </c>
      <c r="F5">
        <v>17</v>
      </c>
      <c r="G5">
        <v>15</v>
      </c>
      <c r="H5">
        <v>17</v>
      </c>
      <c r="I5">
        <v>20</v>
      </c>
      <c r="J5">
        <v>15</v>
      </c>
      <c r="K5">
        <v>17</v>
      </c>
      <c r="L5">
        <v>12</v>
      </c>
      <c r="M5">
        <v>13</v>
      </c>
      <c r="N5" s="114">
        <v>11</v>
      </c>
    </row>
    <row r="6" spans="1:14">
      <c r="A6" t="s">
        <v>32</v>
      </c>
      <c r="B6">
        <v>475</v>
      </c>
      <c r="C6">
        <v>497</v>
      </c>
      <c r="D6">
        <v>532</v>
      </c>
      <c r="E6">
        <v>548</v>
      </c>
      <c r="F6">
        <v>556</v>
      </c>
      <c r="G6">
        <v>565</v>
      </c>
      <c r="H6">
        <v>473</v>
      </c>
      <c r="I6">
        <v>473</v>
      </c>
      <c r="J6">
        <v>470</v>
      </c>
      <c r="K6">
        <v>476</v>
      </c>
      <c r="L6">
        <v>499</v>
      </c>
      <c r="M6">
        <v>506</v>
      </c>
      <c r="N6" s="114">
        <v>501</v>
      </c>
    </row>
    <row r="7" spans="1:14">
      <c r="A7" t="s">
        <v>10</v>
      </c>
      <c r="B7">
        <v>124</v>
      </c>
      <c r="C7">
        <v>132</v>
      </c>
      <c r="D7">
        <v>150</v>
      </c>
      <c r="E7">
        <v>173</v>
      </c>
      <c r="F7">
        <v>189</v>
      </c>
      <c r="G7">
        <v>200</v>
      </c>
      <c r="H7">
        <v>170</v>
      </c>
      <c r="I7">
        <v>184</v>
      </c>
      <c r="J7">
        <v>195</v>
      </c>
      <c r="K7">
        <v>190</v>
      </c>
      <c r="L7">
        <v>241</v>
      </c>
      <c r="M7">
        <v>246</v>
      </c>
      <c r="N7" s="114">
        <v>257</v>
      </c>
    </row>
    <row r="8" spans="1:14">
      <c r="A8" t="s">
        <v>33</v>
      </c>
      <c r="B8">
        <v>2</v>
      </c>
      <c r="C8">
        <v>3</v>
      </c>
      <c r="D8">
        <v>5</v>
      </c>
      <c r="E8">
        <v>5</v>
      </c>
      <c r="F8">
        <v>4</v>
      </c>
      <c r="G8">
        <v>4</v>
      </c>
      <c r="H8">
        <v>4</v>
      </c>
      <c r="I8">
        <v>4</v>
      </c>
      <c r="J8">
        <v>3</v>
      </c>
      <c r="K8">
        <v>2</v>
      </c>
      <c r="L8">
        <v>2</v>
      </c>
      <c r="M8">
        <v>2</v>
      </c>
      <c r="N8" s="114">
        <v>2</v>
      </c>
    </row>
    <row r="9" spans="1:14">
      <c r="A9" t="s">
        <v>34</v>
      </c>
      <c r="B9">
        <v>16</v>
      </c>
      <c r="C9">
        <v>18</v>
      </c>
      <c r="D9">
        <v>26</v>
      </c>
      <c r="E9">
        <v>33</v>
      </c>
      <c r="F9">
        <v>43</v>
      </c>
      <c r="G9">
        <v>47</v>
      </c>
      <c r="H9">
        <v>56</v>
      </c>
      <c r="I9">
        <v>57</v>
      </c>
      <c r="J9">
        <v>68</v>
      </c>
      <c r="K9">
        <v>77</v>
      </c>
      <c r="L9">
        <v>75</v>
      </c>
      <c r="M9">
        <v>87</v>
      </c>
      <c r="N9" s="114">
        <v>80</v>
      </c>
    </row>
    <row r="10" spans="1:14">
      <c r="A10" t="s">
        <v>71</v>
      </c>
      <c r="H10">
        <v>73</v>
      </c>
      <c r="I10" s="111">
        <v>157</v>
      </c>
      <c r="J10">
        <v>146</v>
      </c>
      <c r="K10">
        <v>150</v>
      </c>
      <c r="L10">
        <v>159</v>
      </c>
      <c r="M10">
        <v>172</v>
      </c>
      <c r="N10" s="114">
        <v>171</v>
      </c>
    </row>
    <row r="11" spans="1:14" ht="15">
      <c r="A11" t="s">
        <v>38</v>
      </c>
      <c r="B11" s="21">
        <v>5363</v>
      </c>
      <c r="C11" s="21">
        <v>5412</v>
      </c>
      <c r="D11" s="21">
        <v>5519</v>
      </c>
      <c r="E11" s="21">
        <v>5537</v>
      </c>
      <c r="F11" s="21">
        <v>5539</v>
      </c>
      <c r="G11">
        <v>5487</v>
      </c>
      <c r="H11">
        <v>5484</v>
      </c>
      <c r="I11">
        <v>5516</v>
      </c>
      <c r="J11">
        <v>5305</v>
      </c>
      <c r="K11" s="112">
        <v>5443</v>
      </c>
      <c r="L11">
        <v>5561</v>
      </c>
      <c r="M11">
        <v>5922</v>
      </c>
      <c r="N11" s="114">
        <v>5514</v>
      </c>
    </row>
    <row r="19" spans="1:14" ht="15.75">
      <c r="A19" s="131" t="s">
        <v>78</v>
      </c>
      <c r="B19" s="131"/>
      <c r="C19" s="131"/>
      <c r="D19" s="131"/>
      <c r="E19" s="131"/>
      <c r="F19" s="131"/>
      <c r="G19" s="131"/>
      <c r="H19" s="131"/>
      <c r="I19" s="131"/>
      <c r="J19" s="131"/>
    </row>
    <row r="21" spans="1:14">
      <c r="A21" s="20"/>
      <c r="B21" s="20">
        <v>2013</v>
      </c>
      <c r="C21" s="20">
        <v>2014</v>
      </c>
      <c r="D21" s="20">
        <v>2015</v>
      </c>
      <c r="E21" s="20">
        <v>2016</v>
      </c>
      <c r="F21" s="20">
        <v>2017</v>
      </c>
      <c r="G21" s="20">
        <v>2018</v>
      </c>
      <c r="H21" s="20">
        <v>2019</v>
      </c>
      <c r="I21" s="20">
        <v>2020</v>
      </c>
      <c r="J21" s="20">
        <v>2021</v>
      </c>
      <c r="K21" s="20">
        <v>2022</v>
      </c>
      <c r="L21" s="20">
        <v>2023</v>
      </c>
      <c r="M21" s="20">
        <v>2024</v>
      </c>
      <c r="N21" s="20">
        <v>2025</v>
      </c>
    </row>
    <row r="22" spans="1:14">
      <c r="A22" t="s">
        <v>69</v>
      </c>
      <c r="B22">
        <v>754</v>
      </c>
      <c r="C22">
        <v>807</v>
      </c>
      <c r="D22">
        <v>869</v>
      </c>
      <c r="E22">
        <v>922</v>
      </c>
      <c r="F22">
        <v>966</v>
      </c>
      <c r="G22">
        <v>993</v>
      </c>
      <c r="H22">
        <v>1031</v>
      </c>
      <c r="I22" s="111">
        <v>1041</v>
      </c>
      <c r="J22">
        <v>1029</v>
      </c>
      <c r="K22">
        <v>1050</v>
      </c>
      <c r="L22">
        <v>1131</v>
      </c>
      <c r="M22">
        <v>1183</v>
      </c>
      <c r="N22">
        <f>SUM(N4:N10)</f>
        <v>1166</v>
      </c>
    </row>
    <row r="23" spans="1:14">
      <c r="A23" t="s">
        <v>38</v>
      </c>
      <c r="B23" s="21">
        <v>5363</v>
      </c>
      <c r="C23" s="21">
        <v>5412</v>
      </c>
      <c r="D23" s="21">
        <v>5519</v>
      </c>
      <c r="E23" s="21">
        <v>5537</v>
      </c>
      <c r="F23" s="21">
        <v>5539</v>
      </c>
      <c r="G23" s="21">
        <v>5487</v>
      </c>
      <c r="H23">
        <v>5484</v>
      </c>
      <c r="I23">
        <v>5516</v>
      </c>
      <c r="J23">
        <v>5305</v>
      </c>
      <c r="K23">
        <v>5443</v>
      </c>
      <c r="L23">
        <v>5561</v>
      </c>
      <c r="M23">
        <v>5922</v>
      </c>
      <c r="N23">
        <f>N11</f>
        <v>5514</v>
      </c>
    </row>
    <row r="24" spans="1:14">
      <c r="A24" t="s">
        <v>67</v>
      </c>
      <c r="H24">
        <v>29</v>
      </c>
      <c r="I24" s="111">
        <v>24</v>
      </c>
      <c r="J24">
        <v>4</v>
      </c>
      <c r="K24">
        <v>12</v>
      </c>
      <c r="L24">
        <v>2</v>
      </c>
      <c r="M24">
        <v>29</v>
      </c>
      <c r="N24">
        <v>0</v>
      </c>
    </row>
  </sheetData>
  <mergeCells count="2">
    <mergeCell ref="A1:J1"/>
    <mergeCell ref="A19:J19"/>
  </mergeCells>
  <pageMargins left="0.7" right="0.7" top="0.75" bottom="0.75" header="0.3" footer="0.3"/>
  <pageSetup orientation="landscape" r:id="rId1"/>
  <ignoredErrors>
    <ignoredError sqref="N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Race-Ethnicity</vt:lpstr>
      <vt:lpstr>Data for Charts</vt:lpstr>
      <vt:lpstr>'Race-Ethnicity'!Print_Area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Gahn, Sandra W [I RES]</dc:creator>
  <cp:lastModifiedBy>Andringa, Chris [I RES]</cp:lastModifiedBy>
  <cp:lastPrinted>2025-03-04T15:59:48Z</cp:lastPrinted>
  <dcterms:created xsi:type="dcterms:W3CDTF">1998-11-25T18:40:10Z</dcterms:created>
  <dcterms:modified xsi:type="dcterms:W3CDTF">2025-12-22T15:27:01Z</dcterms:modified>
</cp:coreProperties>
</file>