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zunkel\Downloads\"/>
    </mc:Choice>
  </mc:AlternateContent>
  <bookViews>
    <workbookView xWindow="0" yWindow="0" windowWidth="19180" windowHeight="6830"/>
  </bookViews>
  <sheets>
    <sheet name="Departmental Data Instruction" sheetId="1" r:id="rId1"/>
    <sheet name="Joint Dept check" sheetId="2" state="hidden" r:id="rId2"/>
  </sheets>
  <definedNames>
    <definedName name="_xlnm.Print_Area" localSheetId="0">'Departmental Data Instruction'!$A$1:$L$156</definedName>
  </definedNames>
  <calcPr calcId="162913"/>
</workbook>
</file>

<file path=xl/calcChain.xml><?xml version="1.0" encoding="utf-8"?>
<calcChain xmlns="http://schemas.openxmlformats.org/spreadsheetml/2006/main">
  <c r="M108" i="1" l="1"/>
  <c r="I108" i="1"/>
  <c r="K108" i="1" l="1"/>
  <c r="M128" i="1"/>
  <c r="I107" i="1"/>
  <c r="M44" i="1"/>
  <c r="I130" i="1"/>
  <c r="G110" i="1"/>
  <c r="I79" i="1"/>
  <c r="C16" i="1"/>
  <c r="C13" i="1"/>
  <c r="C10" i="1"/>
  <c r="K128" i="1"/>
  <c r="I127" i="1" l="1"/>
  <c r="L139" i="1" l="1"/>
  <c r="K139" i="1"/>
  <c r="J139" i="1"/>
  <c r="I139" i="1"/>
  <c r="G139" i="1"/>
  <c r="E130" i="1" l="1"/>
  <c r="H107" i="1"/>
  <c r="M33" i="1"/>
  <c r="K23" i="1"/>
  <c r="G22" i="1"/>
  <c r="M99" i="1" l="1"/>
  <c r="M92" i="1"/>
  <c r="M80" i="1"/>
  <c r="M70" i="1"/>
  <c r="D133" i="1" l="1"/>
  <c r="H131" i="1" l="1"/>
  <c r="H86" i="1"/>
  <c r="H55" i="1"/>
  <c r="H32" i="1"/>
  <c r="C139" i="1"/>
  <c r="D139" i="1"/>
  <c r="C140" i="1"/>
  <c r="D140" i="1"/>
  <c r="C141" i="1"/>
  <c r="D141" i="1"/>
  <c r="C142" i="1"/>
  <c r="D142" i="1"/>
  <c r="C143" i="1"/>
  <c r="D143" i="1"/>
  <c r="C144" i="1"/>
  <c r="D144" i="1"/>
  <c r="C138" i="1"/>
  <c r="D138" i="1"/>
  <c r="C128" i="1"/>
  <c r="D128" i="1"/>
  <c r="G127" i="1"/>
  <c r="C108" i="1"/>
  <c r="C110" i="1"/>
  <c r="C133" i="1" s="1"/>
  <c r="D99" i="1"/>
  <c r="C99" i="1"/>
  <c r="D92" i="1"/>
  <c r="C92" i="1"/>
  <c r="D80" i="1"/>
  <c r="D108" i="1" s="1"/>
  <c r="D110" i="1" s="1"/>
  <c r="C80" i="1"/>
  <c r="D70" i="1"/>
  <c r="C70" i="1"/>
  <c r="D56" i="1"/>
  <c r="C56" i="1"/>
  <c r="D44" i="1"/>
  <c r="C44" i="1"/>
  <c r="C23" i="1"/>
  <c r="D23" i="1"/>
  <c r="E33" i="1"/>
  <c r="D33" i="1"/>
  <c r="C33" i="1"/>
  <c r="F17" i="1"/>
  <c r="C17" i="1"/>
  <c r="E28" i="1" l="1"/>
  <c r="G28" i="1" s="1"/>
  <c r="I28" i="1" s="1"/>
  <c r="K28" i="1" l="1"/>
  <c r="E127" i="1"/>
  <c r="E126" i="1"/>
  <c r="E125" i="1"/>
  <c r="E124" i="1"/>
  <c r="E123" i="1"/>
  <c r="E122" i="1"/>
  <c r="E107" i="1"/>
  <c r="G107" i="1" s="1"/>
  <c r="E98" i="1"/>
  <c r="E97" i="1"/>
  <c r="E96" i="1"/>
  <c r="E95" i="1"/>
  <c r="E91" i="1"/>
  <c r="E90" i="1"/>
  <c r="E89" i="1"/>
  <c r="E88" i="1"/>
  <c r="E87" i="1"/>
  <c r="E86" i="1"/>
  <c r="E85" i="1"/>
  <c r="E84" i="1"/>
  <c r="E83" i="1"/>
  <c r="E79" i="1"/>
  <c r="E78" i="1"/>
  <c r="E77" i="1"/>
  <c r="E76" i="1"/>
  <c r="E75" i="1"/>
  <c r="E74" i="1"/>
  <c r="E69" i="1"/>
  <c r="E68" i="1"/>
  <c r="E67" i="1"/>
  <c r="E66" i="1"/>
  <c r="E65" i="1"/>
  <c r="E64" i="1"/>
  <c r="E54" i="1"/>
  <c r="E53" i="1"/>
  <c r="E52" i="1"/>
  <c r="E51" i="1"/>
  <c r="E50" i="1"/>
  <c r="E49" i="1"/>
  <c r="E48" i="1"/>
  <c r="E47" i="1"/>
  <c r="E42" i="1"/>
  <c r="E41" i="1"/>
  <c r="E40" i="1"/>
  <c r="E39" i="1"/>
  <c r="E38" i="1"/>
  <c r="E37" i="1"/>
  <c r="E36" i="1"/>
  <c r="E31" i="1"/>
  <c r="E30" i="1"/>
  <c r="E29" i="1"/>
  <c r="E27" i="1"/>
  <c r="E26" i="1"/>
  <c r="E22" i="1"/>
  <c r="E21" i="1"/>
  <c r="E20" i="1"/>
  <c r="E19" i="1"/>
  <c r="E18" i="1"/>
  <c r="E17" i="1"/>
  <c r="E16" i="1"/>
  <c r="E15" i="1"/>
  <c r="E14" i="1"/>
  <c r="E13" i="1"/>
  <c r="E12" i="1"/>
  <c r="E11" i="1"/>
  <c r="E10" i="1"/>
  <c r="E9" i="1"/>
  <c r="E8" i="1"/>
  <c r="J144" i="1" l="1"/>
  <c r="H99" i="1" l="1"/>
  <c r="F99" i="1"/>
  <c r="E99" i="1"/>
  <c r="H92" i="1"/>
  <c r="F92" i="1"/>
  <c r="E92" i="1"/>
  <c r="G92" i="1" s="1"/>
  <c r="H80" i="1"/>
  <c r="F80" i="1"/>
  <c r="E80" i="1"/>
  <c r="G99" i="1" l="1"/>
  <c r="G80" i="1"/>
  <c r="G108" i="1" s="1"/>
  <c r="H108" i="1"/>
  <c r="F23" i="1"/>
  <c r="H23" i="1"/>
  <c r="J92" i="1" l="1"/>
  <c r="G42" i="1" l="1"/>
  <c r="I42" i="1" s="1"/>
  <c r="I8" i="2" l="1"/>
  <c r="I40" i="2" l="1"/>
  <c r="I35" i="2"/>
  <c r="I30" i="2"/>
  <c r="I25" i="2"/>
  <c r="I19" i="2"/>
  <c r="I14" i="2"/>
  <c r="D40" i="2"/>
  <c r="E40" i="2"/>
  <c r="F40" i="2"/>
  <c r="G40" i="2"/>
  <c r="H40" i="2"/>
  <c r="J40" i="2"/>
  <c r="D35" i="2"/>
  <c r="E35" i="2"/>
  <c r="F35" i="2"/>
  <c r="G35" i="2"/>
  <c r="H35" i="2"/>
  <c r="J35" i="2"/>
  <c r="D30" i="2"/>
  <c r="E30" i="2"/>
  <c r="F30" i="2"/>
  <c r="G30" i="2"/>
  <c r="H30" i="2"/>
  <c r="J30" i="2"/>
  <c r="D25" i="2"/>
  <c r="E25" i="2"/>
  <c r="F25" i="2"/>
  <c r="G25" i="2"/>
  <c r="H25" i="2"/>
  <c r="J25" i="2"/>
  <c r="D19" i="2"/>
  <c r="E19" i="2"/>
  <c r="F19" i="2"/>
  <c r="G19" i="2"/>
  <c r="H19" i="2"/>
  <c r="J19" i="2"/>
  <c r="D14" i="2"/>
  <c r="E14" i="2"/>
  <c r="F14" i="2"/>
  <c r="G14" i="2"/>
  <c r="H14" i="2"/>
  <c r="J14" i="2"/>
  <c r="D8" i="2"/>
  <c r="E8" i="2"/>
  <c r="F8" i="2"/>
  <c r="G8" i="2"/>
  <c r="H8" i="2"/>
  <c r="J8" i="2"/>
  <c r="C40" i="2"/>
  <c r="C35" i="2"/>
  <c r="C30" i="2"/>
  <c r="C25" i="2"/>
  <c r="C19" i="2"/>
  <c r="C14" i="2"/>
  <c r="C8" i="2"/>
  <c r="F44" i="1" l="1"/>
  <c r="J44" i="1"/>
  <c r="H44" i="1" l="1"/>
  <c r="E44" i="1" l="1"/>
  <c r="G44" i="1" l="1"/>
  <c r="I69" i="1"/>
  <c r="L144" i="1" l="1"/>
  <c r="L143" i="1"/>
  <c r="L142" i="1"/>
  <c r="L141" i="1"/>
  <c r="L140" i="1"/>
  <c r="L138" i="1"/>
  <c r="I55" i="1" l="1"/>
  <c r="J128" i="1" l="1"/>
  <c r="H144" i="1" l="1"/>
  <c r="F144" i="1"/>
  <c r="E144" i="1"/>
  <c r="J143" i="1"/>
  <c r="H143" i="1"/>
  <c r="F143" i="1"/>
  <c r="E143" i="1"/>
  <c r="J142" i="1"/>
  <c r="H142" i="1"/>
  <c r="F142" i="1"/>
  <c r="E142" i="1"/>
  <c r="J141" i="1"/>
  <c r="H141" i="1"/>
  <c r="F141" i="1"/>
  <c r="E141" i="1"/>
  <c r="J140" i="1"/>
  <c r="H140" i="1"/>
  <c r="F140" i="1"/>
  <c r="E140" i="1"/>
  <c r="H139" i="1"/>
  <c r="F139" i="1"/>
  <c r="E139" i="1"/>
  <c r="J138" i="1"/>
  <c r="H138" i="1"/>
  <c r="F138" i="1"/>
  <c r="E138" i="1"/>
  <c r="H70" i="1"/>
  <c r="J70" i="1"/>
  <c r="I32" i="1"/>
  <c r="G16" i="1"/>
  <c r="I16" i="1" s="1"/>
  <c r="K16" i="1" s="1"/>
  <c r="G138" i="1" l="1"/>
  <c r="G43" i="1"/>
  <c r="K43" i="1" s="1"/>
  <c r="G65" i="1"/>
  <c r="I65" i="1" s="1"/>
  <c r="K65" i="1" l="1"/>
  <c r="I43" i="1"/>
  <c r="L92" i="1" l="1"/>
  <c r="J105" i="1" l="1"/>
  <c r="J23" i="1"/>
  <c r="G141" i="1"/>
  <c r="G140" i="1"/>
  <c r="I140" i="1" s="1"/>
  <c r="K140" i="1" s="1"/>
  <c r="G142" i="1"/>
  <c r="I142" i="1" s="1"/>
  <c r="K142" i="1" s="1"/>
  <c r="I138" i="1"/>
  <c r="K138" i="1" s="1"/>
  <c r="G143" i="1" l="1"/>
  <c r="I143" i="1" s="1"/>
  <c r="K143" i="1" s="1"/>
  <c r="G144" i="1"/>
  <c r="I144" i="1" s="1"/>
  <c r="K144" i="1" s="1"/>
  <c r="I141" i="1"/>
  <c r="K141" i="1" s="1"/>
  <c r="G131" i="1"/>
  <c r="E23" i="1" l="1"/>
  <c r="I131" i="1" l="1"/>
  <c r="L128" i="1"/>
  <c r="H128" i="1"/>
  <c r="F128" i="1"/>
  <c r="E128" i="1"/>
  <c r="G130" i="1" s="1"/>
  <c r="G126" i="1"/>
  <c r="I126" i="1" s="1"/>
  <c r="G125" i="1"/>
  <c r="I125" i="1" s="1"/>
  <c r="G124" i="1"/>
  <c r="K124" i="1" s="1"/>
  <c r="G123" i="1"/>
  <c r="K123" i="1" s="1"/>
  <c r="G122" i="1"/>
  <c r="K122" i="1" s="1"/>
  <c r="L99" i="1"/>
  <c r="J99" i="1"/>
  <c r="G98" i="1"/>
  <c r="K98" i="1" s="1"/>
  <c r="G97" i="1"/>
  <c r="K97" i="1" s="1"/>
  <c r="G96" i="1"/>
  <c r="I96" i="1" s="1"/>
  <c r="G95" i="1"/>
  <c r="I95" i="1" s="1"/>
  <c r="G91" i="1"/>
  <c r="K91" i="1" s="1"/>
  <c r="G90" i="1"/>
  <c r="K90" i="1" s="1"/>
  <c r="G89" i="1"/>
  <c r="K89" i="1" s="1"/>
  <c r="G88" i="1"/>
  <c r="I88" i="1" s="1"/>
  <c r="G87" i="1"/>
  <c r="K87" i="1" s="1"/>
  <c r="G86" i="1"/>
  <c r="I86" i="1" s="1"/>
  <c r="G85" i="1"/>
  <c r="I85" i="1" s="1"/>
  <c r="G84" i="1"/>
  <c r="K84" i="1" s="1"/>
  <c r="G83" i="1"/>
  <c r="K83" i="1" s="1"/>
  <c r="L80" i="1"/>
  <c r="J80" i="1"/>
  <c r="G79" i="1"/>
  <c r="G78" i="1"/>
  <c r="I78" i="1" s="1"/>
  <c r="G77" i="1"/>
  <c r="I77" i="1" s="1"/>
  <c r="G76" i="1"/>
  <c r="G75" i="1"/>
  <c r="I75" i="1" s="1"/>
  <c r="G74" i="1"/>
  <c r="I74" i="1" s="1"/>
  <c r="F70" i="1"/>
  <c r="E70" i="1"/>
  <c r="L70" i="1"/>
  <c r="G68" i="1"/>
  <c r="G67" i="1"/>
  <c r="I67" i="1" s="1"/>
  <c r="G66" i="1"/>
  <c r="G64" i="1"/>
  <c r="I64" i="1" s="1"/>
  <c r="L56" i="1"/>
  <c r="J56" i="1"/>
  <c r="H56" i="1"/>
  <c r="F56" i="1"/>
  <c r="E56" i="1"/>
  <c r="E110" i="1" s="1"/>
  <c r="E133" i="1" s="1"/>
  <c r="G54" i="1"/>
  <c r="K54" i="1" s="1"/>
  <c r="G53" i="1"/>
  <c r="K53" i="1" s="1"/>
  <c r="G52" i="1"/>
  <c r="K52" i="1" s="1"/>
  <c r="G51" i="1"/>
  <c r="K51" i="1" s="1"/>
  <c r="G50" i="1"/>
  <c r="I50" i="1" s="1"/>
  <c r="G49" i="1"/>
  <c r="K49" i="1" s="1"/>
  <c r="G48" i="1"/>
  <c r="I48" i="1" s="1"/>
  <c r="G47" i="1"/>
  <c r="I47" i="1" s="1"/>
  <c r="L44" i="1"/>
  <c r="K42" i="1"/>
  <c r="G41" i="1"/>
  <c r="K41" i="1" s="1"/>
  <c r="G37" i="1"/>
  <c r="I37" i="1" s="1"/>
  <c r="G40" i="1"/>
  <c r="K40" i="1" s="1"/>
  <c r="G39" i="1"/>
  <c r="K39" i="1" s="1"/>
  <c r="G38" i="1"/>
  <c r="I38" i="1" s="1"/>
  <c r="G36" i="1"/>
  <c r="I36" i="1" s="1"/>
  <c r="L33" i="1"/>
  <c r="J33" i="1"/>
  <c r="H33" i="1"/>
  <c r="F33" i="1"/>
  <c r="G31" i="1"/>
  <c r="K31" i="1" s="1"/>
  <c r="G30" i="1"/>
  <c r="K30" i="1" s="1"/>
  <c r="G29" i="1"/>
  <c r="K29" i="1" s="1"/>
  <c r="G27" i="1"/>
  <c r="K27" i="1" s="1"/>
  <c r="G26" i="1"/>
  <c r="I26" i="1" s="1"/>
  <c r="L23" i="1"/>
  <c r="I22" i="1"/>
  <c r="G21" i="1"/>
  <c r="I21" i="1" s="1"/>
  <c r="K21" i="1" s="1"/>
  <c r="G20" i="1"/>
  <c r="I20" i="1" s="1"/>
  <c r="K20" i="1" s="1"/>
  <c r="G19" i="1"/>
  <c r="I19" i="1" s="1"/>
  <c r="K19" i="1" s="1"/>
  <c r="G18" i="1"/>
  <c r="I18" i="1" s="1"/>
  <c r="G17" i="1"/>
  <c r="I17" i="1" s="1"/>
  <c r="K17" i="1" s="1"/>
  <c r="G15" i="1"/>
  <c r="I15" i="1" s="1"/>
  <c r="K15" i="1" s="1"/>
  <c r="G14" i="1"/>
  <c r="G13" i="1"/>
  <c r="I13" i="1" s="1"/>
  <c r="K13" i="1" s="1"/>
  <c r="G12" i="1"/>
  <c r="G11" i="1"/>
  <c r="I11" i="1" s="1"/>
  <c r="K11" i="1" s="1"/>
  <c r="G10" i="1"/>
  <c r="I10" i="1" s="1"/>
  <c r="K10" i="1" s="1"/>
  <c r="G9" i="1"/>
  <c r="I9" i="1" s="1"/>
  <c r="K9" i="1" s="1"/>
  <c r="G8" i="1"/>
  <c r="K79" i="1" l="1"/>
  <c r="K76" i="1"/>
  <c r="I76" i="1"/>
  <c r="I8" i="1"/>
  <c r="G23" i="1"/>
  <c r="J110" i="1"/>
  <c r="J133" i="1" s="1"/>
  <c r="J135" i="1" s="1"/>
  <c r="I14" i="1"/>
  <c r="K14" i="1" s="1"/>
  <c r="L110" i="1"/>
  <c r="L133" i="1" s="1"/>
  <c r="K68" i="1"/>
  <c r="I68" i="1"/>
  <c r="K66" i="1"/>
  <c r="I66" i="1"/>
  <c r="G128" i="1"/>
  <c r="I12" i="1"/>
  <c r="K12" i="1" s="1"/>
  <c r="J108" i="1"/>
  <c r="G70" i="1"/>
  <c r="K92" i="1"/>
  <c r="K88" i="1"/>
  <c r="K18" i="1"/>
  <c r="K77" i="1"/>
  <c r="K67" i="1"/>
  <c r="K50" i="1"/>
  <c r="K48" i="1"/>
  <c r="G56" i="1"/>
  <c r="K125" i="1"/>
  <c r="K78" i="1"/>
  <c r="L108" i="1"/>
  <c r="K75" i="1"/>
  <c r="K86" i="1"/>
  <c r="K26" i="1"/>
  <c r="F108" i="1"/>
  <c r="I27" i="1"/>
  <c r="I40" i="1"/>
  <c r="K47" i="1"/>
  <c r="I51" i="1"/>
  <c r="E108" i="1"/>
  <c r="K85" i="1"/>
  <c r="I89" i="1"/>
  <c r="I98" i="1"/>
  <c r="K126" i="1"/>
  <c r="K36" i="1"/>
  <c r="K95" i="1"/>
  <c r="K37" i="1"/>
  <c r="K64" i="1"/>
  <c r="K38" i="1"/>
  <c r="K74" i="1"/>
  <c r="K96" i="1"/>
  <c r="K8" i="1"/>
  <c r="I31" i="1"/>
  <c r="G33" i="1"/>
  <c r="I30" i="1"/>
  <c r="I53" i="1"/>
  <c r="I83" i="1"/>
  <c r="I91" i="1"/>
  <c r="I123" i="1"/>
  <c r="K80" i="1"/>
  <c r="I54" i="1"/>
  <c r="I84" i="1"/>
  <c r="K99" i="1"/>
  <c r="I87" i="1"/>
  <c r="I41" i="1"/>
  <c r="I52" i="1"/>
  <c r="I124" i="1"/>
  <c r="I39" i="1"/>
  <c r="I49" i="1"/>
  <c r="I97" i="1"/>
  <c r="I29" i="1"/>
  <c r="I90" i="1"/>
  <c r="I122" i="1"/>
  <c r="I99" i="1" l="1"/>
  <c r="I80" i="1"/>
  <c r="I92" i="1"/>
  <c r="I23" i="1"/>
  <c r="H110" i="1"/>
  <c r="H133" i="1" s="1"/>
  <c r="H135" i="1" s="1"/>
  <c r="H111" i="1"/>
  <c r="G109" i="1"/>
  <c r="F110" i="1"/>
  <c r="F133" i="1" s="1"/>
  <c r="F135" i="1" s="1"/>
  <c r="F111" i="1"/>
  <c r="I44" i="1"/>
  <c r="I70" i="1"/>
  <c r="K70" i="1" s="1"/>
  <c r="I128" i="1"/>
  <c r="I56" i="1"/>
  <c r="I33" i="1"/>
  <c r="K33" i="1" s="1"/>
  <c r="K56" i="1" l="1"/>
  <c r="M56" i="1"/>
  <c r="K44" i="1"/>
  <c r="G133" i="1"/>
  <c r="G135" i="1" s="1"/>
  <c r="G111" i="1"/>
  <c r="I111" i="1" l="1"/>
  <c r="I110" i="1"/>
  <c r="K110" i="1" l="1"/>
  <c r="I133" i="1"/>
</calcChain>
</file>

<file path=xl/comments1.xml><?xml version="1.0" encoding="utf-8"?>
<comments xmlns="http://schemas.openxmlformats.org/spreadsheetml/2006/main">
  <authors>
    <author>Dobbe, Nadine K [I RES]</author>
  </authors>
  <commentList>
    <comment ref="J20" authorId="0" shapeId="0">
      <text>
        <r>
          <rPr>
            <b/>
            <sz val="9"/>
            <color indexed="81"/>
            <rFont val="Tahoma"/>
            <family val="2"/>
          </rPr>
          <t>Includes Microbiology SCH; 
nkd</t>
        </r>
      </text>
    </comment>
    <comment ref="H22" authorId="0" shapeId="0">
      <text>
        <r>
          <rPr>
            <sz val="9"/>
            <color indexed="81"/>
            <rFont val="Tahoma"/>
            <family val="2"/>
          </rPr>
          <t xml:space="preserve">Includes: AG &amp; SL ADMIN
</t>
        </r>
      </text>
    </comment>
    <comment ref="J22" authorId="0" shapeId="0">
      <text>
        <r>
          <rPr>
            <b/>
            <sz val="9"/>
            <color indexed="81"/>
            <rFont val="Tahoma"/>
            <family val="2"/>
          </rPr>
          <t xml:space="preserve">CALS Admin, GLOBE, Statistics
</t>
        </r>
        <r>
          <rPr>
            <sz val="9"/>
            <color indexed="81"/>
            <rFont val="Tahoma"/>
            <family val="2"/>
          </rPr>
          <t xml:space="preserve">
</t>
        </r>
      </text>
    </comment>
    <comment ref="J32" authorId="0" shapeId="0">
      <text>
        <r>
          <rPr>
            <b/>
            <sz val="9"/>
            <color indexed="81"/>
            <rFont val="Tahoma"/>
            <family val="2"/>
          </rPr>
          <t>Dobbe, Nadine K [I RES]:</t>
        </r>
        <r>
          <rPr>
            <sz val="9"/>
            <color indexed="81"/>
            <rFont val="Tahoma"/>
            <family val="2"/>
          </rPr>
          <t xml:space="preserve">
Includes Bus and Bus Admin</t>
        </r>
      </text>
    </comment>
    <comment ref="H43" authorId="0" shapeId="0">
      <text>
        <r>
          <rPr>
            <b/>
            <sz val="9"/>
            <color indexed="81"/>
            <rFont val="Tahoma"/>
            <family val="2"/>
          </rPr>
          <t>Dobbe, Nadine K [I RES]:</t>
        </r>
        <r>
          <rPr>
            <sz val="9"/>
            <color indexed="81"/>
            <rFont val="Tahoma"/>
            <family val="2"/>
          </rPr>
          <t xml:space="preserve">
 Includes
Design Studies
</t>
        </r>
      </text>
    </comment>
    <comment ref="J43" authorId="0" shapeId="0">
      <text>
        <r>
          <rPr>
            <b/>
            <sz val="9"/>
            <color indexed="81"/>
            <rFont val="Tahoma"/>
            <family val="2"/>
          </rPr>
          <t>Dobbe, Nadine K [I RES]:</t>
        </r>
        <r>
          <rPr>
            <sz val="9"/>
            <color indexed="81"/>
            <rFont val="Tahoma"/>
            <family val="2"/>
          </rPr>
          <t xml:space="preserve">
Includes Design Studies and Urban Design
</t>
        </r>
      </text>
    </comment>
    <comment ref="H55" authorId="0" shapeId="0">
      <text>
        <r>
          <rPr>
            <sz val="9"/>
            <color indexed="81"/>
            <rFont val="Tahoma"/>
            <family val="2"/>
          </rPr>
          <t xml:space="preserve">includes: engr research institute; ctr biornw chem; ctr e-design; eng-las online
</t>
        </r>
      </text>
    </comment>
    <comment ref="H107" authorId="0" shapeId="0">
      <text>
        <r>
          <rPr>
            <b/>
            <sz val="9"/>
            <color indexed="81"/>
            <rFont val="Tahoma"/>
            <family val="2"/>
          </rPr>
          <t xml:space="preserve">Includes: CTR Catalysis; LAS Admin; Env Prog, Ecol &amp; Evol Biol
</t>
        </r>
      </text>
    </comment>
    <comment ref="H131" authorId="0" shapeId="0">
      <text>
        <r>
          <rPr>
            <b/>
            <sz val="9"/>
            <color indexed="81"/>
            <rFont val="Tahoma"/>
            <family val="2"/>
          </rPr>
          <t xml:space="preserve">Grad college, SRVP Provost; Ames Lab; OPFIN; SVPSA; Intrdept
</t>
        </r>
      </text>
    </comment>
    <comment ref="J131" authorId="0" shapeId="0">
      <text>
        <r>
          <rPr>
            <b/>
            <sz val="9"/>
            <color indexed="81"/>
            <rFont val="Tahoma"/>
            <family val="2"/>
          </rPr>
          <t xml:space="preserve">Honors and Univ Mueseums (??)
</t>
        </r>
      </text>
    </comment>
  </commentList>
</comments>
</file>

<file path=xl/sharedStrings.xml><?xml version="1.0" encoding="utf-8"?>
<sst xmlns="http://schemas.openxmlformats.org/spreadsheetml/2006/main" count="188" uniqueCount="132">
  <si>
    <t>Departmental Data within College: Instruction</t>
  </si>
  <si>
    <t>COLLEGE/</t>
  </si>
  <si>
    <r>
      <t>––––––––INSTRUCTIONAL FTE</t>
    </r>
    <r>
      <rPr>
        <vertAlign val="superscript"/>
        <sz val="9"/>
        <color theme="1"/>
        <rFont val="Univers 55"/>
        <family val="2"/>
      </rPr>
      <t>2</t>
    </r>
    <r>
      <rPr>
        <b/>
        <sz val="9"/>
        <color theme="1"/>
        <rFont val="Univers 55"/>
        <family val="2"/>
      </rPr>
      <t>––––––––</t>
    </r>
  </si>
  <si>
    <t>SCH/</t>
  </si>
  <si>
    <t>FACULTY</t>
  </si>
  <si>
    <r>
      <t>DEPARTMENT</t>
    </r>
    <r>
      <rPr>
        <vertAlign val="superscript"/>
        <sz val="9"/>
        <color theme="1"/>
        <rFont val="Univers 55"/>
        <family val="2"/>
      </rPr>
      <t>1</t>
    </r>
  </si>
  <si>
    <r>
      <t>T/TE</t>
    </r>
    <r>
      <rPr>
        <vertAlign val="superscript"/>
        <sz val="9"/>
        <color theme="1"/>
        <rFont val="Univers 55"/>
        <family val="2"/>
      </rPr>
      <t>3</t>
    </r>
  </si>
  <si>
    <r>
      <t>NTE</t>
    </r>
    <r>
      <rPr>
        <vertAlign val="superscript"/>
        <sz val="9"/>
        <color theme="1"/>
        <rFont val="Univers 55"/>
        <family val="2"/>
      </rPr>
      <t>3</t>
    </r>
  </si>
  <si>
    <t xml:space="preserve">  TA</t>
  </si>
  <si>
    <t xml:space="preserve">  TOTAL </t>
  </si>
  <si>
    <r>
      <t xml:space="preserve">   SCH</t>
    </r>
    <r>
      <rPr>
        <vertAlign val="superscript"/>
        <sz val="9"/>
        <color theme="1"/>
        <rFont val="Univers 55"/>
        <family val="2"/>
      </rPr>
      <t>4</t>
    </r>
  </si>
  <si>
    <t>FTE</t>
  </si>
  <si>
    <t>Agriculture and Life Sciences</t>
  </si>
  <si>
    <t>Ag/Biosystems Engr</t>
  </si>
  <si>
    <t>Ag Education/Studies</t>
  </si>
  <si>
    <t>Agronomy</t>
  </si>
  <si>
    <t>Animal Science</t>
  </si>
  <si>
    <t>Bioch/Bioph Molc Biol</t>
  </si>
  <si>
    <t>Ecol Evol/Org Biol</t>
  </si>
  <si>
    <t>Economics</t>
  </si>
  <si>
    <t>Entomology</t>
  </si>
  <si>
    <t>Food Sci/Human Nutr</t>
  </si>
  <si>
    <t>Gen Dvmt/Cell Biol</t>
  </si>
  <si>
    <t>Horticulture</t>
  </si>
  <si>
    <t>Nat Res Ecol &amp; Mgmt</t>
  </si>
  <si>
    <t>Plant Path &amp; Micro</t>
  </si>
  <si>
    <t>Sociology</t>
  </si>
  <si>
    <t>Agriculture – General</t>
  </si>
  <si>
    <t>Business</t>
  </si>
  <si>
    <t>Accounting</t>
  </si>
  <si>
    <t>Finance</t>
  </si>
  <si>
    <t>Management</t>
  </si>
  <si>
    <t>Marketing</t>
  </si>
  <si>
    <t>Business – General</t>
  </si>
  <si>
    <t>Design</t>
  </si>
  <si>
    <t>Architecture</t>
  </si>
  <si>
    <t>Community/Region Plan</t>
  </si>
  <si>
    <t>Landscape Architecture</t>
  </si>
  <si>
    <t>Engineering</t>
  </si>
  <si>
    <t>Aero Engr/Engr Mech</t>
  </si>
  <si>
    <t>Chem/Bio Engr</t>
  </si>
  <si>
    <t>Civil/Constr/Envir Engr</t>
  </si>
  <si>
    <t>Electr/Computer Engr</t>
  </si>
  <si>
    <t>Indust Manuf/Sys Engr</t>
  </si>
  <si>
    <t>Materials Science/Engr</t>
  </si>
  <si>
    <t>Mechanical Engr</t>
  </si>
  <si>
    <t>Engineering – General</t>
  </si>
  <si>
    <t>Human Sciences</t>
  </si>
  <si>
    <t>App/Events/Hosp Mgmt</t>
  </si>
  <si>
    <t>Human Dvmt/Fam St</t>
  </si>
  <si>
    <t>Kinesiology</t>
  </si>
  <si>
    <t>School of Education</t>
  </si>
  <si>
    <t>Human Sci – General</t>
  </si>
  <si>
    <t>Liberal Arts and Sciences</t>
  </si>
  <si>
    <t>Division of Humanities</t>
  </si>
  <si>
    <t>English</t>
  </si>
  <si>
    <t>Greenlee Journ/Comm</t>
  </si>
  <si>
    <t>History</t>
  </si>
  <si>
    <t>Music/Theatre</t>
  </si>
  <si>
    <t>Philosophy/Religious St</t>
  </si>
  <si>
    <t xml:space="preserve">  Humanities Total</t>
  </si>
  <si>
    <t>Division of Science and Mathematics</t>
  </si>
  <si>
    <t>Chemistry</t>
  </si>
  <si>
    <t>Computer Science</t>
  </si>
  <si>
    <t>Geological/Atmosph Sci</t>
  </si>
  <si>
    <t>Mathematics</t>
  </si>
  <si>
    <t>Physics/Astronomy</t>
  </si>
  <si>
    <t>Statistics</t>
  </si>
  <si>
    <t xml:space="preserve">  Sci Math Total</t>
  </si>
  <si>
    <t>Division of Social Sciences</t>
  </si>
  <si>
    <t>Political Science</t>
  </si>
  <si>
    <t xml:space="preserve">Psychology </t>
  </si>
  <si>
    <t xml:space="preserve">  Social Sci Total</t>
  </si>
  <si>
    <t>Air Force Aerospace St</t>
  </si>
  <si>
    <t>Military Science/Tactics</t>
  </si>
  <si>
    <t>Naval Science/Tactics</t>
  </si>
  <si>
    <t xml:space="preserve">  Military Sci Total</t>
  </si>
  <si>
    <t>Lib Arts/Sci – Gen</t>
  </si>
  <si>
    <t>Veterinary Medicine</t>
  </si>
  <si>
    <t>Biomedical Sciences</t>
  </si>
  <si>
    <t>Vet Clinical Sciences</t>
  </si>
  <si>
    <t>Vet Diag/Prod An Med</t>
  </si>
  <si>
    <t>Vet Micro/Prev Med</t>
  </si>
  <si>
    <t>Vet Pathology</t>
  </si>
  <si>
    <t>Vet Med – General</t>
  </si>
  <si>
    <t>Library</t>
  </si>
  <si>
    <t xml:space="preserve">Interdepartmental Units/
   Graduate Undeclared </t>
  </si>
  <si>
    <t xml:space="preserve">Office of Institutional Research </t>
  </si>
  <si>
    <r>
      <t>Jointly Administered Department Totals</t>
    </r>
    <r>
      <rPr>
        <vertAlign val="superscript"/>
        <sz val="9"/>
        <color theme="1"/>
        <rFont val="Univers 45 Light"/>
      </rPr>
      <t>1</t>
    </r>
  </si>
  <si>
    <r>
      <t>HEADCOUNT</t>
    </r>
    <r>
      <rPr>
        <vertAlign val="superscript"/>
        <sz val="9"/>
        <color theme="1"/>
        <rFont val="Univers 55"/>
        <family val="2"/>
      </rPr>
      <t>5</t>
    </r>
  </si>
  <si>
    <t>Graphic Design</t>
  </si>
  <si>
    <t>Industrial Design</t>
  </si>
  <si>
    <t>Interior Design</t>
  </si>
  <si>
    <t>Art/Visual Culture</t>
  </si>
  <si>
    <r>
      <t xml:space="preserve">  Agriculture Total</t>
    </r>
    <r>
      <rPr>
        <vertAlign val="superscript"/>
        <sz val="9"/>
        <color theme="1"/>
        <rFont val="Univers 45 Light"/>
      </rPr>
      <t>5</t>
    </r>
  </si>
  <si>
    <r>
      <t xml:space="preserve">  Business Total</t>
    </r>
    <r>
      <rPr>
        <vertAlign val="superscript"/>
        <sz val="9"/>
        <color theme="1"/>
        <rFont val="Univers 45 Light"/>
        <family val="2"/>
      </rPr>
      <t>5</t>
    </r>
  </si>
  <si>
    <r>
      <t xml:space="preserve">  Design Total</t>
    </r>
    <r>
      <rPr>
        <vertAlign val="superscript"/>
        <sz val="9"/>
        <color theme="1"/>
        <rFont val="Univers 45 Light"/>
        <family val="2"/>
      </rPr>
      <t>5</t>
    </r>
  </si>
  <si>
    <r>
      <t xml:space="preserve">  Engineering Total</t>
    </r>
    <r>
      <rPr>
        <vertAlign val="superscript"/>
        <sz val="9"/>
        <color theme="1"/>
        <rFont val="Univers 45 Light"/>
        <family val="2"/>
      </rPr>
      <t>5</t>
    </r>
  </si>
  <si>
    <r>
      <t xml:space="preserve">  Human Sci Total</t>
    </r>
    <r>
      <rPr>
        <vertAlign val="superscript"/>
        <sz val="9"/>
        <color theme="1"/>
        <rFont val="Univers 45 Light"/>
      </rPr>
      <t>5</t>
    </r>
  </si>
  <si>
    <r>
      <t>Lib Arts/Sci – Total</t>
    </r>
    <r>
      <rPr>
        <vertAlign val="superscript"/>
        <sz val="9"/>
        <color theme="1"/>
        <rFont val="Univers 45 Light"/>
        <family val="2"/>
      </rPr>
      <t>5</t>
    </r>
  </si>
  <si>
    <r>
      <t>All Colleges Total</t>
    </r>
    <r>
      <rPr>
        <vertAlign val="superscript"/>
        <sz val="9"/>
        <color theme="1"/>
        <rFont val="Univers 45 Light"/>
      </rPr>
      <t>5</t>
    </r>
  </si>
  <si>
    <r>
      <t xml:space="preserve">  Vet Medicine Total</t>
    </r>
    <r>
      <rPr>
        <vertAlign val="superscript"/>
        <sz val="9"/>
        <color theme="1"/>
        <rFont val="Univers 45 Light"/>
        <family val="2"/>
      </rPr>
      <t>5</t>
    </r>
  </si>
  <si>
    <r>
      <t>SCH and Instructional FTE Not Included in All Colleges or University SCH/FTE Ratios</t>
    </r>
    <r>
      <rPr>
        <vertAlign val="superscript"/>
        <sz val="9"/>
        <color theme="1"/>
        <rFont val="Univers 45 Light"/>
      </rPr>
      <t>5</t>
    </r>
  </si>
  <si>
    <r>
      <t>4</t>
    </r>
    <r>
      <rPr>
        <sz val="9"/>
        <color theme="1"/>
        <rFont val="Univers 55"/>
        <family val="2"/>
      </rPr>
      <t xml:space="preserve"> SCH (student credit hours) represents the course credit multiplied by the number of students 
  enrolled in the course.  All SCH data are sourced from the e-Data warehouse which assigns SCH to 
  departments and colleges using course splits designated by teaching departments.</t>
    </r>
  </si>
  <si>
    <t>Joint Dept Checks, Fall 2017</t>
  </si>
  <si>
    <r>
      <t>World Lang/Cultures</t>
    </r>
    <r>
      <rPr>
        <vertAlign val="superscript"/>
        <sz val="9"/>
        <color theme="1"/>
        <rFont val="Univers 55"/>
      </rPr>
      <t>6</t>
    </r>
  </si>
  <si>
    <r>
      <t>Military Sciences</t>
    </r>
    <r>
      <rPr>
        <vertAlign val="superscript"/>
        <sz val="9"/>
        <color theme="1"/>
        <rFont val="Univers 45 Light"/>
      </rPr>
      <t>7</t>
    </r>
  </si>
  <si>
    <r>
      <t xml:space="preserve">6 </t>
    </r>
    <r>
      <rPr>
        <sz val="9"/>
        <color theme="1"/>
        <rFont val="Univers 55"/>
      </rPr>
      <t>Anthropology course and instruction data are included in World Language and Cultures beginning Fall 2016.</t>
    </r>
  </si>
  <si>
    <r>
      <t xml:space="preserve">7 </t>
    </r>
    <r>
      <rPr>
        <sz val="9"/>
        <color theme="1"/>
        <rFont val="Univers 55"/>
        <family val="2"/>
      </rPr>
      <t>Military Sciences SCH are not included in the college or university SCH/FTE ratios.</t>
    </r>
  </si>
  <si>
    <t>Design Studies/General</t>
  </si>
  <si>
    <t xml:space="preserve">    TOTAL </t>
  </si>
  <si>
    <t xml:space="preserve">   FACULTY</t>
  </si>
  <si>
    <t xml:space="preserve">   TA</t>
  </si>
  <si>
    <t>University Total</t>
  </si>
  <si>
    <r>
      <t>5</t>
    </r>
    <r>
      <rPr>
        <sz val="9"/>
        <color theme="1"/>
        <rFont val="Univers 55"/>
        <family val="2"/>
      </rPr>
      <t xml:space="preserve"> The College Total SCH per FTE ratios exclude SCHs with no associated instructor FTEs as well as 
  SCH and FTEs not assigned to academic departments. The All Colleges ratio also excludes Veterinary Medicine, 
  Library, and Interdepartmental Units.</t>
    </r>
  </si>
  <si>
    <r>
      <t>TERM</t>
    </r>
    <r>
      <rPr>
        <vertAlign val="superscript"/>
        <sz val="9"/>
        <color theme="1"/>
        <rFont val="Univers 55"/>
        <family val="2"/>
      </rPr>
      <t>3</t>
    </r>
  </si>
  <si>
    <t>Information Sys &amp; Bus Analytics</t>
  </si>
  <si>
    <t>Supply Chain Mgmt</t>
  </si>
  <si>
    <t>Fall 2019</t>
  </si>
  <si>
    <t>Fall 2019, continued</t>
  </si>
  <si>
    <r>
      <t xml:space="preserve">1 </t>
    </r>
    <r>
      <rPr>
        <sz val="9"/>
        <color theme="1"/>
        <rFont val="Univers 55"/>
        <family val="2"/>
      </rPr>
      <t>Data for departments administered by two colleges are shown both separately for each administering college 
  and summarized by department (above).   
  Departments administered by Agriculture and Life Sciences and Liberal Arts and Sciences: Biochemistry, Biophysics 
  and Molecular Biology; Economics; Ecology, Evolution and Organismal Biology; Genetics, Development and Cell 
  Biology; and Sociology. Department administered by Agriculture and Life Sciences and Engineering: Agricultural 
  and Biosystems Engineering. Department administered by Agriculture and Life Sciences and Human Sciences: 
  Food Science and Human Nutrition.</t>
    </r>
  </si>
  <si>
    <r>
      <t>3</t>
    </r>
    <r>
      <rPr>
        <sz val="9"/>
        <color theme="1"/>
        <rFont val="Univers 55"/>
        <family val="2"/>
      </rPr>
      <t xml:space="preserve"> "Faculty" is comprised of T/TE (tenured and tenure eligible) plus Term faculty.  Term faculty 
  includes Continuous Adjuncts.  Faculty are counted in department of primary rank (sourced from 
  Workday).</t>
    </r>
  </si>
  <si>
    <t>Tenured</t>
  </si>
  <si>
    <t>Tenure
Eligible</t>
  </si>
  <si>
    <r>
      <t>COLLEGE/
DEPARTMENT</t>
    </r>
    <r>
      <rPr>
        <vertAlign val="superscript"/>
        <sz val="9"/>
        <color theme="1"/>
        <rFont val="Univers 55"/>
        <family val="2"/>
      </rPr>
      <t>1</t>
    </r>
  </si>
  <si>
    <t>SCH/ 
FTE</t>
  </si>
  <si>
    <r>
      <t>FACULTY
HEADCOUNT</t>
    </r>
    <r>
      <rPr>
        <vertAlign val="superscript"/>
        <sz val="9"/>
        <color theme="1"/>
        <rFont val="Univers 55"/>
      </rPr>
      <t>3</t>
    </r>
  </si>
  <si>
    <r>
      <t>Tenure
Eligible</t>
    </r>
    <r>
      <rPr>
        <b/>
        <vertAlign val="superscript"/>
        <sz val="9"/>
        <color theme="1"/>
        <rFont val="Univers 55"/>
      </rPr>
      <t>3</t>
    </r>
  </si>
  <si>
    <r>
      <t>Tenured</t>
    </r>
    <r>
      <rPr>
        <b/>
        <vertAlign val="superscript"/>
        <sz val="9"/>
        <color theme="1"/>
        <rFont val="Univers 55"/>
      </rPr>
      <t>3</t>
    </r>
  </si>
  <si>
    <r>
      <t>––––––––</t>
    </r>
    <r>
      <rPr>
        <b/>
        <sz val="9"/>
        <color theme="1"/>
        <rFont val="Univers 55"/>
        <family val="2"/>
      </rPr>
      <t>––––INSTRUCTIONAL FTE</t>
    </r>
    <r>
      <rPr>
        <vertAlign val="superscript"/>
        <sz val="9"/>
        <color theme="1"/>
        <rFont val="Univers 55"/>
        <family val="2"/>
      </rPr>
      <t>2</t>
    </r>
    <r>
      <rPr>
        <b/>
        <sz val="9"/>
        <color theme="1"/>
        <rFont val="Univers 55"/>
        <family val="2"/>
      </rPr>
      <t xml:space="preserve">––––––––––––     </t>
    </r>
  </si>
  <si>
    <t>Last Updated: 7/23/2020</t>
  </si>
  <si>
    <r>
      <t>2</t>
    </r>
    <r>
      <rPr>
        <sz val="9"/>
        <color theme="1"/>
        <rFont val="Univers 55"/>
        <family val="2"/>
      </rPr>
      <t xml:space="preserve"> Instructional FTE (full-time equivalent) represents the portion of salary paid from departmental General University 
  funds. Instructional FTE is used in SCH per FTE (SCH/FTE) ratios.  Beginning Fall 2019, all FTE data are sourced from Workday and e-Data.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</si>
</sst>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0"/>
    <numFmt numFmtId="165" formatCode="?,??0.00"/>
    <numFmt numFmtId="166" formatCode="???,??0"/>
    <numFmt numFmtId="167" formatCode="?,??0"/>
    <numFmt numFmtId="168" formatCode="??0.00"/>
    <numFmt numFmtId="169" formatCode="??0"/>
    <numFmt numFmtId="170" formatCode="0.000"/>
    <numFmt numFmtId="171" formatCode="?0.0000"/>
    <numFmt numFmtId="172" formatCode="0.0000"/>
    <numFmt numFmtId="173" formatCode="???,??0.0000"/>
    <numFmt numFmtId="174" formatCode="???,??0.000"/>
    <numFmt numFmtId="175" formatCode="0.00000000000000000"/>
  </numFmts>
  <fonts count="38">
    <font>
      <sz val="10"/>
      <name val="Univers 55"/>
      <family val="2"/>
    </font>
    <font>
      <sz val="7"/>
      <color theme="1"/>
      <name val="Univers 55"/>
      <family val="2"/>
    </font>
    <font>
      <b/>
      <sz val="14"/>
      <color theme="1"/>
      <name val="Univers 55"/>
      <family val="2"/>
    </font>
    <font>
      <sz val="14"/>
      <color theme="1"/>
      <name val="Univers 75 Black"/>
    </font>
    <font>
      <sz val="7"/>
      <color theme="1"/>
      <name val="Univers 75 Black"/>
    </font>
    <font>
      <i/>
      <sz val="10"/>
      <color theme="1"/>
      <name val="Berkeley"/>
      <family val="1"/>
    </font>
    <font>
      <b/>
      <sz val="9"/>
      <color theme="1"/>
      <name val="Univers 55"/>
      <family val="2"/>
    </font>
    <font>
      <vertAlign val="superscript"/>
      <sz val="9"/>
      <color theme="1"/>
      <name val="Univers 55"/>
      <family val="2"/>
    </font>
    <font>
      <b/>
      <sz val="9"/>
      <color theme="1"/>
      <name val="Univers 45 Light"/>
      <family val="2"/>
    </font>
    <font>
      <sz val="9"/>
      <color theme="1"/>
      <name val="Univers 55"/>
      <family val="2"/>
    </font>
    <font>
      <vertAlign val="superscript"/>
      <sz val="9"/>
      <color theme="1"/>
      <name val="Univers 45 Light"/>
      <family val="2"/>
    </font>
    <font>
      <i/>
      <sz val="9"/>
      <color theme="1"/>
      <name val="Berkeley"/>
      <family val="1"/>
    </font>
    <font>
      <sz val="9"/>
      <color theme="1"/>
      <name val="Univers 75 Black"/>
    </font>
    <font>
      <b/>
      <sz val="7"/>
      <color theme="1"/>
      <name val="Univers 45 Light"/>
      <family val="2"/>
    </font>
    <font>
      <sz val="9"/>
      <color theme="1"/>
      <name val="Univers 65 Bold"/>
    </font>
    <font>
      <sz val="7"/>
      <color theme="1"/>
      <name val="Univers 65 Bold"/>
    </font>
    <font>
      <sz val="9"/>
      <color theme="1"/>
      <name val="Univers 45 Light"/>
      <family val="2"/>
    </font>
    <font>
      <sz val="10"/>
      <color theme="1"/>
      <name val="Berkeley Italic"/>
    </font>
    <font>
      <sz val="7"/>
      <color theme="1"/>
      <name val="Berkeley Italic"/>
    </font>
    <font>
      <sz val="10"/>
      <color theme="1"/>
      <name val="Univers 55"/>
      <family val="2"/>
    </font>
    <font>
      <b/>
      <sz val="9"/>
      <color indexed="81"/>
      <name val="Tahoma"/>
      <family val="2"/>
    </font>
    <font>
      <sz val="9"/>
      <color indexed="81"/>
      <name val="Tahoma"/>
      <family val="2"/>
    </font>
    <font>
      <b/>
      <i/>
      <sz val="9"/>
      <color theme="1"/>
      <name val="Univers 55"/>
    </font>
    <font>
      <vertAlign val="superscript"/>
      <sz val="9"/>
      <color theme="1"/>
      <name val="Univers 45 Light"/>
    </font>
    <font>
      <sz val="9"/>
      <color theme="1"/>
      <name val="Univers 55"/>
    </font>
    <font>
      <b/>
      <sz val="7"/>
      <color theme="1"/>
      <name val="Univers 55"/>
      <family val="2"/>
    </font>
    <font>
      <sz val="9"/>
      <color theme="0"/>
      <name val="Univers 55"/>
      <family val="2"/>
    </font>
    <font>
      <b/>
      <sz val="12"/>
      <name val="Univers 55"/>
    </font>
    <font>
      <vertAlign val="superscript"/>
      <sz val="9"/>
      <color theme="1"/>
      <name val="Univers 55"/>
    </font>
    <font>
      <b/>
      <sz val="9"/>
      <color theme="1"/>
      <name val="Univers 55"/>
    </font>
    <font>
      <sz val="9"/>
      <color theme="0" tint="-0.14999847407452621"/>
      <name val="Univers 55"/>
      <family val="2"/>
    </font>
    <font>
      <b/>
      <sz val="9"/>
      <color theme="0"/>
      <name val="Univers 45 Light"/>
      <family val="2"/>
    </font>
    <font>
      <sz val="7"/>
      <color theme="0"/>
      <name val="Univers 65 Bold"/>
    </font>
    <font>
      <b/>
      <sz val="9"/>
      <color rgb="FFFF0000"/>
      <name val="Univers 45 Light"/>
      <family val="2"/>
    </font>
    <font>
      <sz val="7"/>
      <color rgb="FFFF0000"/>
      <name val="Univers 65 Bold"/>
    </font>
    <font>
      <b/>
      <sz val="9"/>
      <color theme="1"/>
      <name val="Univers 75 Black"/>
    </font>
    <font>
      <b/>
      <sz val="9"/>
      <color theme="5"/>
      <name val="Univers 45 Light"/>
      <family val="2"/>
    </font>
    <font>
      <b/>
      <vertAlign val="superscript"/>
      <sz val="9"/>
      <color theme="1"/>
      <name val="Univers 55"/>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indexed="8"/>
      </bottom>
      <diagonal/>
    </border>
    <border>
      <left/>
      <right/>
      <top style="thin">
        <color indexed="8"/>
      </top>
      <bottom/>
      <diagonal/>
    </border>
    <border>
      <left/>
      <right/>
      <top/>
      <bottom style="thin">
        <color theme="1"/>
      </bottom>
      <diagonal/>
    </border>
    <border>
      <left/>
      <right/>
      <top style="thin">
        <color theme="1"/>
      </top>
      <bottom/>
      <diagonal/>
    </border>
    <border>
      <left/>
      <right/>
      <top style="thin">
        <color theme="1"/>
      </top>
      <bottom style="thin">
        <color theme="1"/>
      </bottom>
      <diagonal/>
    </border>
    <border>
      <left/>
      <right/>
      <top/>
      <bottom style="thin">
        <color indexed="64"/>
      </bottom>
      <diagonal/>
    </border>
    <border>
      <left/>
      <right/>
      <top style="thin">
        <color indexed="8"/>
      </top>
      <bottom style="thin">
        <color indexed="8"/>
      </bottom>
      <diagonal/>
    </border>
  </borders>
  <cellStyleXfs count="1">
    <xf numFmtId="0" fontId="0" fillId="0" borderId="0"/>
  </cellStyleXfs>
  <cellXfs count="310">
    <xf numFmtId="0" fontId="0" fillId="0" borderId="0" xfId="0"/>
    <xf numFmtId="0" fontId="1" fillId="2" borderId="0" xfId="0" applyFont="1" applyFill="1" applyBorder="1" applyAlignment="1">
      <alignment horizontal="left"/>
    </xf>
    <xf numFmtId="0" fontId="1" fillId="2" borderId="0" xfId="0" applyFont="1" applyFill="1" applyBorder="1" applyAlignment="1"/>
    <xf numFmtId="0" fontId="2" fillId="2" borderId="0" xfId="0" applyFont="1" applyFill="1" applyBorder="1" applyAlignment="1">
      <alignment horizontal="left"/>
    </xf>
    <xf numFmtId="0" fontId="4" fillId="2" borderId="0" xfId="0" applyFont="1" applyFill="1" applyBorder="1" applyAlignment="1"/>
    <xf numFmtId="0" fontId="3"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6" fillId="2" borderId="0" xfId="0" applyNumberFormat="1" applyFont="1" applyFill="1" applyBorder="1" applyAlignment="1">
      <alignment horizontal="center"/>
    </xf>
    <xf numFmtId="0" fontId="6" fillId="2" borderId="1" xfId="0" applyNumberFormat="1" applyFont="1" applyFill="1" applyBorder="1" applyAlignment="1"/>
    <xf numFmtId="0" fontId="8" fillId="2" borderId="2" xfId="0" applyFont="1" applyFill="1" applyBorder="1" applyAlignment="1" applyProtection="1"/>
    <xf numFmtId="0" fontId="9" fillId="2" borderId="0" xfId="0" applyFont="1" applyFill="1" applyBorder="1" applyAlignment="1"/>
    <xf numFmtId="167" fontId="9" fillId="2" borderId="0" xfId="0" applyNumberFormat="1" applyFont="1" applyFill="1" applyBorder="1" applyAlignment="1">
      <alignment horizontal="center"/>
    </xf>
    <xf numFmtId="0" fontId="9" fillId="2" borderId="3" xfId="0" applyFont="1" applyFill="1" applyBorder="1" applyAlignment="1" applyProtection="1"/>
    <xf numFmtId="167" fontId="9" fillId="2" borderId="3" xfId="0" applyNumberFormat="1" applyFont="1" applyFill="1" applyBorder="1" applyAlignment="1">
      <alignment horizontal="center"/>
    </xf>
    <xf numFmtId="0" fontId="8" fillId="2" borderId="4" xfId="0" applyFont="1" applyFill="1" applyBorder="1" applyAlignment="1" applyProtection="1"/>
    <xf numFmtId="167" fontId="8" fillId="2" borderId="4" xfId="0" applyNumberFormat="1" applyFont="1" applyFill="1" applyBorder="1" applyAlignment="1">
      <alignment horizontal="center"/>
    </xf>
    <xf numFmtId="0" fontId="8" fillId="2" borderId="0" xfId="0" applyFont="1" applyFill="1" applyBorder="1" applyAlignment="1"/>
    <xf numFmtId="0" fontId="11" fillId="2" borderId="0" xfId="0" applyFont="1" applyFill="1" applyBorder="1" applyAlignment="1"/>
    <xf numFmtId="0" fontId="12" fillId="2" borderId="0" xfId="0" applyFont="1" applyFill="1" applyBorder="1" applyAlignment="1"/>
    <xf numFmtId="0" fontId="8" fillId="2" borderId="0" xfId="0" applyFont="1" applyFill="1" applyBorder="1" applyAlignment="1" applyProtection="1"/>
    <xf numFmtId="167" fontId="8" fillId="2" borderId="0" xfId="0" applyNumberFormat="1" applyFont="1" applyFill="1" applyBorder="1" applyAlignment="1">
      <alignment horizontal="center"/>
    </xf>
    <xf numFmtId="166" fontId="8" fillId="2" borderId="0" xfId="0" applyNumberFormat="1" applyFont="1" applyFill="1" applyBorder="1" applyAlignment="1"/>
    <xf numFmtId="166" fontId="8" fillId="2" borderId="0" xfId="0" applyNumberFormat="1" applyFont="1" applyFill="1" applyBorder="1" applyAlignment="1" applyProtection="1"/>
    <xf numFmtId="166" fontId="13" fillId="2" borderId="0" xfId="0" applyNumberFormat="1" applyFont="1" applyFill="1" applyBorder="1" applyAlignment="1" applyProtection="1"/>
    <xf numFmtId="167" fontId="13" fillId="2" borderId="0" xfId="0" applyNumberFormat="1" applyFont="1" applyFill="1" applyBorder="1" applyAlignment="1">
      <alignment horizontal="center"/>
    </xf>
    <xf numFmtId="166" fontId="13" fillId="2" borderId="0" xfId="0" applyNumberFormat="1" applyFont="1" applyFill="1" applyBorder="1" applyAlignment="1"/>
    <xf numFmtId="0" fontId="8" fillId="2" borderId="0" xfId="0" applyFont="1" applyFill="1" applyBorder="1" applyAlignment="1" applyProtection="1">
      <alignment horizontal="left"/>
    </xf>
    <xf numFmtId="0" fontId="14" fillId="2" borderId="0" xfId="0" applyFont="1" applyFill="1" applyBorder="1" applyAlignment="1"/>
    <xf numFmtId="166" fontId="8" fillId="2" borderId="0" xfId="0" applyNumberFormat="1" applyFont="1" applyFill="1" applyBorder="1" applyAlignment="1" applyProtection="1">
      <alignment horizontal="center"/>
    </xf>
    <xf numFmtId="166" fontId="15" fillId="2" borderId="0" xfId="0" applyNumberFormat="1" applyFont="1" applyFill="1" applyBorder="1" applyAlignment="1" applyProtection="1"/>
    <xf numFmtId="166" fontId="15" fillId="2" borderId="0" xfId="0" applyNumberFormat="1" applyFont="1" applyFill="1" applyBorder="1" applyAlignment="1">
      <alignment horizontal="center"/>
    </xf>
    <xf numFmtId="166" fontId="15" fillId="2" borderId="0" xfId="0" applyNumberFormat="1" applyFont="1" applyFill="1" applyBorder="1" applyAlignment="1"/>
    <xf numFmtId="0" fontId="8" fillId="2" borderId="0"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applyAlignment="1">
      <alignment horizontal="left"/>
    </xf>
    <xf numFmtId="0" fontId="9" fillId="2" borderId="0" xfId="0" applyFont="1" applyFill="1" applyBorder="1" applyAlignment="1">
      <alignment horizontal="left"/>
    </xf>
    <xf numFmtId="0" fontId="7" fillId="2" borderId="0" xfId="0" applyFont="1" applyFill="1" applyBorder="1" applyAlignment="1">
      <alignment horizontal="left"/>
    </xf>
    <xf numFmtId="0" fontId="17" fillId="2" borderId="0" xfId="0" applyFont="1" applyFill="1" applyBorder="1" applyAlignment="1">
      <alignment horizontal="left" vertical="center"/>
    </xf>
    <xf numFmtId="0" fontId="17" fillId="2" borderId="0" xfId="0" applyFont="1" applyFill="1" applyAlignment="1"/>
    <xf numFmtId="0" fontId="18" fillId="2" borderId="0" xfId="0" applyFont="1" applyFill="1" applyBorder="1" applyAlignment="1"/>
    <xf numFmtId="0" fontId="17" fillId="2" borderId="0" xfId="0" applyFont="1" applyFill="1" applyBorder="1" applyAlignment="1"/>
    <xf numFmtId="0" fontId="1" fillId="2" borderId="0" xfId="0" applyFont="1" applyFill="1" applyBorder="1"/>
    <xf numFmtId="0" fontId="6" fillId="2" borderId="0" xfId="0" applyNumberFormat="1" applyFont="1" applyFill="1" applyBorder="1" applyAlignment="1"/>
    <xf numFmtId="165" fontId="6" fillId="2" borderId="0" xfId="0" applyNumberFormat="1" applyFont="1" applyFill="1" applyBorder="1" applyAlignment="1">
      <alignment horizontal="center"/>
    </xf>
    <xf numFmtId="0" fontId="8" fillId="0" borderId="0" xfId="0" applyFont="1" applyFill="1" applyBorder="1" applyAlignment="1" applyProtection="1"/>
    <xf numFmtId="0" fontId="22" fillId="2" borderId="0" xfId="0" applyNumberFormat="1" applyFont="1" applyFill="1" applyBorder="1" applyAlignment="1"/>
    <xf numFmtId="0" fontId="22" fillId="2" borderId="0" xfId="0" applyFont="1" applyFill="1" applyBorder="1" applyAlignment="1" applyProtection="1"/>
    <xf numFmtId="0" fontId="16" fillId="2" borderId="0" xfId="0" applyFont="1" applyFill="1" applyBorder="1" applyAlignment="1" applyProtection="1">
      <alignment vertical="center"/>
    </xf>
    <xf numFmtId="0" fontId="9" fillId="2" borderId="0" xfId="0" applyFont="1" applyFill="1" applyBorder="1" applyAlignment="1" applyProtection="1">
      <alignment vertical="center"/>
    </xf>
    <xf numFmtId="166" fontId="14"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left" indent="2"/>
    </xf>
    <xf numFmtId="0" fontId="8" fillId="2" borderId="0" xfId="0" applyFont="1" applyFill="1" applyBorder="1" applyAlignment="1" applyProtection="1">
      <alignment vertical="center"/>
    </xf>
    <xf numFmtId="0" fontId="8" fillId="2" borderId="5" xfId="0" applyFont="1" applyFill="1" applyBorder="1" applyAlignment="1" applyProtection="1">
      <alignment vertical="center"/>
    </xf>
    <xf numFmtId="167" fontId="8" fillId="2" borderId="5" xfId="0" applyNumberFormat="1" applyFont="1" applyFill="1" applyBorder="1" applyAlignment="1">
      <alignment horizontal="center" vertical="center"/>
    </xf>
    <xf numFmtId="166" fontId="8" fillId="2" borderId="0" xfId="0" applyNumberFormat="1" applyFont="1" applyFill="1" applyBorder="1" applyAlignment="1" applyProtection="1">
      <alignment horizontal="center" vertical="center"/>
    </xf>
    <xf numFmtId="166" fontId="24" fillId="2" borderId="0" xfId="0" applyNumberFormat="1" applyFont="1" applyFill="1" applyBorder="1" applyAlignment="1"/>
    <xf numFmtId="0" fontId="6" fillId="2" borderId="0" xfId="0" applyFont="1" applyFill="1" applyBorder="1" applyAlignment="1">
      <alignment horizontal="center"/>
    </xf>
    <xf numFmtId="0" fontId="1" fillId="2" borderId="0" xfId="0" applyFont="1" applyFill="1" applyBorder="1" applyAlignment="1">
      <alignment horizontal="center"/>
    </xf>
    <xf numFmtId="165" fontId="25" fillId="2" borderId="0" xfId="0" applyNumberFormat="1" applyFont="1" applyFill="1" applyBorder="1" applyAlignment="1">
      <alignment horizontal="center"/>
    </xf>
    <xf numFmtId="0" fontId="4" fillId="2" borderId="0" xfId="0" applyFont="1" applyFill="1" applyBorder="1" applyAlignment="1">
      <alignment horizontal="center"/>
    </xf>
    <xf numFmtId="0" fontId="6" fillId="2" borderId="2" xfId="0" applyNumberFormat="1" applyFont="1" applyFill="1" applyBorder="1" applyAlignment="1">
      <alignment horizontal="right"/>
    </xf>
    <xf numFmtId="0" fontId="12" fillId="2" borderId="0" xfId="0" applyFont="1" applyFill="1" applyBorder="1" applyAlignment="1">
      <alignment horizontal="center"/>
    </xf>
    <xf numFmtId="166" fontId="9" fillId="2" borderId="0" xfId="0" applyNumberFormat="1" applyFont="1" applyFill="1" applyBorder="1" applyAlignment="1">
      <alignment horizontal="right"/>
    </xf>
    <xf numFmtId="167" fontId="8" fillId="2" borderId="0" xfId="0" applyNumberFormat="1" applyFont="1" applyFill="1" applyBorder="1" applyAlignment="1">
      <alignment horizontal="right"/>
    </xf>
    <xf numFmtId="167" fontId="9" fillId="2" borderId="0" xfId="0" applyNumberFormat="1" applyFont="1" applyFill="1" applyBorder="1" applyAlignment="1">
      <alignment horizontal="right"/>
    </xf>
    <xf numFmtId="166" fontId="14" fillId="2" borderId="0" xfId="0" applyNumberFormat="1" applyFont="1" applyFill="1" applyBorder="1" applyAlignment="1">
      <alignment horizontal="right"/>
    </xf>
    <xf numFmtId="167" fontId="9" fillId="2" borderId="3" xfId="0" applyNumberFormat="1" applyFont="1" applyFill="1" applyBorder="1" applyAlignment="1">
      <alignment horizontal="right"/>
    </xf>
    <xf numFmtId="169" fontId="8" fillId="2" borderId="0" xfId="0" applyNumberFormat="1" applyFont="1" applyFill="1" applyBorder="1" applyAlignment="1" applyProtection="1">
      <alignment horizontal="center"/>
    </xf>
    <xf numFmtId="0" fontId="9" fillId="2" borderId="0" xfId="0" applyFont="1" applyFill="1" applyBorder="1" applyAlignment="1">
      <alignment horizontal="center"/>
    </xf>
    <xf numFmtId="0" fontId="17" fillId="2" borderId="0" xfId="0" applyFont="1" applyFill="1" applyBorder="1" applyAlignment="1">
      <alignment horizontal="center" vertical="center"/>
    </xf>
    <xf numFmtId="0" fontId="17" fillId="2" borderId="0" xfId="0" applyFont="1" applyFill="1" applyBorder="1" applyAlignment="1">
      <alignment horizontal="center"/>
    </xf>
    <xf numFmtId="0" fontId="24" fillId="3" borderId="0" xfId="0" applyFont="1" applyFill="1" applyBorder="1" applyAlignment="1" applyProtection="1">
      <alignment horizontal="left"/>
    </xf>
    <xf numFmtId="166" fontId="24" fillId="3" borderId="0" xfId="0" applyNumberFormat="1" applyFont="1" applyFill="1" applyBorder="1" applyAlignment="1" applyProtection="1"/>
    <xf numFmtId="166" fontId="24" fillId="3" borderId="0" xfId="0" applyNumberFormat="1" applyFont="1" applyFill="1" applyBorder="1" applyAlignment="1">
      <alignment horizontal="center"/>
    </xf>
    <xf numFmtId="0" fontId="24" fillId="2" borderId="0" xfId="0" applyFont="1" applyFill="1" applyBorder="1" applyAlignment="1" applyProtection="1">
      <alignment horizontal="left"/>
    </xf>
    <xf numFmtId="166" fontId="24" fillId="2" borderId="0" xfId="0" applyNumberFormat="1" applyFont="1" applyFill="1" applyBorder="1" applyAlignment="1" applyProtection="1"/>
    <xf numFmtId="166" fontId="24" fillId="2" borderId="0" xfId="0" applyNumberFormat="1" applyFont="1" applyFill="1" applyBorder="1" applyAlignment="1">
      <alignment horizontal="center"/>
    </xf>
    <xf numFmtId="0" fontId="24" fillId="0" borderId="0" xfId="0" applyFont="1" applyFill="1" applyBorder="1" applyAlignment="1" applyProtection="1">
      <alignment horizontal="left"/>
    </xf>
    <xf numFmtId="166" fontId="24" fillId="0" borderId="0" xfId="0" applyNumberFormat="1" applyFont="1" applyFill="1" applyBorder="1" applyAlignment="1" applyProtection="1"/>
    <xf numFmtId="166" fontId="24" fillId="0" borderId="0" xfId="0" applyNumberFormat="1" applyFont="1" applyFill="1" applyBorder="1" applyAlignment="1">
      <alignment horizontal="center"/>
    </xf>
    <xf numFmtId="0" fontId="9" fillId="2" borderId="0" xfId="0" applyFont="1" applyFill="1" applyBorder="1" applyAlignment="1"/>
    <xf numFmtId="0" fontId="9" fillId="3" borderId="0" xfId="0" applyFont="1" applyFill="1" applyBorder="1" applyAlignment="1" applyProtection="1"/>
    <xf numFmtId="167" fontId="9" fillId="3" borderId="0" xfId="0" applyNumberFormat="1" applyFont="1" applyFill="1" applyBorder="1" applyAlignment="1">
      <alignment horizontal="center"/>
    </xf>
    <xf numFmtId="0" fontId="9" fillId="2" borderId="0" xfId="0" applyFont="1" applyFill="1" applyBorder="1" applyAlignment="1" applyProtection="1"/>
    <xf numFmtId="0" fontId="9" fillId="3" borderId="3" xfId="0" applyFont="1" applyFill="1" applyBorder="1" applyAlignment="1" applyProtection="1"/>
    <xf numFmtId="167" fontId="9" fillId="3" borderId="3" xfId="0" applyNumberFormat="1" applyFont="1" applyFill="1" applyBorder="1" applyAlignment="1">
      <alignment horizontal="center"/>
    </xf>
    <xf numFmtId="0" fontId="9" fillId="0" borderId="0" xfId="0" applyFont="1" applyFill="1" applyBorder="1" applyAlignment="1" applyProtection="1"/>
    <xf numFmtId="165" fontId="9" fillId="0" borderId="0" xfId="0" applyNumberFormat="1" applyFont="1" applyFill="1" applyBorder="1" applyAlignment="1">
      <alignment horizontal="center"/>
    </xf>
    <xf numFmtId="168"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167" fontId="9" fillId="0" borderId="0" xfId="0" applyNumberFormat="1" applyFont="1" applyFill="1" applyBorder="1" applyAlignment="1">
      <alignment horizontal="center"/>
    </xf>
    <xf numFmtId="167" fontId="9" fillId="3" borderId="0" xfId="0" applyNumberFormat="1" applyFont="1" applyFill="1" applyBorder="1" applyAlignment="1">
      <alignment horizontal="right"/>
    </xf>
    <xf numFmtId="167" fontId="9" fillId="3" borderId="3" xfId="0" applyNumberFormat="1" applyFont="1" applyFill="1" applyBorder="1" applyAlignment="1">
      <alignment horizontal="right"/>
    </xf>
    <xf numFmtId="0" fontId="9" fillId="2" borderId="0" xfId="0" applyFont="1" applyFill="1" applyBorder="1" applyAlignment="1"/>
    <xf numFmtId="166" fontId="8" fillId="2" borderId="4" xfId="0" applyNumberFormat="1" applyFont="1" applyFill="1" applyBorder="1" applyAlignment="1" applyProtection="1"/>
    <xf numFmtId="0" fontId="6" fillId="0" borderId="0" xfId="0" applyFont="1" applyFill="1" applyBorder="1" applyAlignment="1"/>
    <xf numFmtId="0" fontId="6" fillId="0" borderId="0" xfId="0" applyNumberFormat="1" applyFont="1" applyFill="1" applyBorder="1" applyAlignment="1">
      <alignment horizontal="center"/>
    </xf>
    <xf numFmtId="167" fontId="6" fillId="0" borderId="0" xfId="0" applyNumberFormat="1" applyFont="1" applyFill="1" applyAlignment="1">
      <alignment horizontal="center"/>
    </xf>
    <xf numFmtId="165" fontId="6" fillId="0" borderId="0" xfId="0" applyNumberFormat="1" applyFont="1" applyFill="1" applyBorder="1" applyAlignment="1">
      <alignment horizontal="center"/>
    </xf>
    <xf numFmtId="0" fontId="6" fillId="0" borderId="1" xfId="0" applyNumberFormat="1" applyFont="1" applyFill="1" applyBorder="1" applyAlignment="1"/>
    <xf numFmtId="0" fontId="6" fillId="0" borderId="1" xfId="0" applyFont="1" applyFill="1" applyBorder="1" applyAlignment="1">
      <alignment horizontal="right"/>
    </xf>
    <xf numFmtId="165" fontId="6" fillId="0" borderId="1" xfId="0" applyNumberFormat="1" applyFont="1" applyFill="1" applyBorder="1" applyAlignment="1">
      <alignment horizontal="center"/>
    </xf>
    <xf numFmtId="164" fontId="6" fillId="0" borderId="1" xfId="0" applyNumberFormat="1" applyFont="1" applyFill="1" applyBorder="1" applyAlignment="1"/>
    <xf numFmtId="166" fontId="6" fillId="0" borderId="1" xfId="0" applyNumberFormat="1" applyFont="1" applyFill="1" applyBorder="1" applyAlignment="1">
      <alignment horizontal="center"/>
    </xf>
    <xf numFmtId="167" fontId="6" fillId="0" borderId="1" xfId="0" applyNumberFormat="1" applyFont="1" applyFill="1" applyBorder="1" applyAlignment="1">
      <alignment horizontal="center"/>
    </xf>
    <xf numFmtId="0" fontId="6" fillId="0" borderId="1" xfId="0" applyFont="1" applyFill="1" applyBorder="1" applyAlignment="1">
      <alignment horizontal="center"/>
    </xf>
    <xf numFmtId="0" fontId="9" fillId="0" borderId="0" xfId="0" applyFont="1" applyFill="1" applyBorder="1" applyAlignment="1"/>
    <xf numFmtId="0" fontId="9" fillId="0" borderId="3" xfId="0" applyFont="1" applyFill="1" applyBorder="1" applyAlignment="1" applyProtection="1"/>
    <xf numFmtId="165" fontId="9" fillId="0" borderId="3" xfId="0" applyNumberFormat="1" applyFont="1" applyFill="1" applyBorder="1" applyAlignment="1">
      <alignment horizontal="center"/>
    </xf>
    <xf numFmtId="168" fontId="9" fillId="0" borderId="3" xfId="0" applyNumberFormat="1" applyFont="1" applyFill="1" applyBorder="1" applyAlignment="1">
      <alignment horizontal="center"/>
    </xf>
    <xf numFmtId="166" fontId="9" fillId="0" borderId="3" xfId="0" applyNumberFormat="1" applyFont="1" applyFill="1" applyBorder="1" applyAlignment="1">
      <alignment horizontal="center"/>
    </xf>
    <xf numFmtId="167" fontId="9" fillId="0" borderId="3" xfId="0" applyNumberFormat="1" applyFont="1" applyFill="1" applyBorder="1" applyAlignment="1">
      <alignment horizontal="center"/>
    </xf>
    <xf numFmtId="0" fontId="9" fillId="0" borderId="3" xfId="0" applyFont="1" applyFill="1" applyBorder="1" applyAlignment="1"/>
    <xf numFmtId="0" fontId="0" fillId="0" borderId="0" xfId="0" applyFill="1"/>
    <xf numFmtId="0" fontId="9" fillId="0" borderId="6" xfId="0" applyFont="1" applyFill="1" applyBorder="1" applyAlignment="1" applyProtection="1"/>
    <xf numFmtId="165" fontId="9" fillId="0" borderId="6" xfId="0" applyNumberFormat="1" applyFont="1" applyFill="1" applyBorder="1" applyAlignment="1">
      <alignment horizontal="center"/>
    </xf>
    <xf numFmtId="168" fontId="9" fillId="0" borderId="6" xfId="0" applyNumberFormat="1" applyFont="1" applyFill="1" applyBorder="1" applyAlignment="1">
      <alignment horizontal="center"/>
    </xf>
    <xf numFmtId="166" fontId="9" fillId="0" borderId="6" xfId="0" applyNumberFormat="1" applyFont="1" applyFill="1" applyBorder="1" applyAlignment="1">
      <alignment horizontal="center"/>
    </xf>
    <xf numFmtId="167" fontId="9" fillId="0" borderId="6" xfId="0" applyNumberFormat="1" applyFont="1" applyFill="1" applyBorder="1" applyAlignment="1">
      <alignment horizontal="center"/>
    </xf>
    <xf numFmtId="0" fontId="27" fillId="0" borderId="0" xfId="0" applyFont="1" applyFill="1"/>
    <xf numFmtId="0" fontId="27" fillId="0" borderId="0" xfId="0" applyFont="1"/>
    <xf numFmtId="0" fontId="9" fillId="2" borderId="0" xfId="0" applyFont="1" applyFill="1" applyBorder="1" applyAlignment="1"/>
    <xf numFmtId="0" fontId="8" fillId="2" borderId="7" xfId="0" applyFont="1" applyFill="1" applyBorder="1" applyAlignment="1" applyProtection="1"/>
    <xf numFmtId="166" fontId="8" fillId="2" borderId="7" xfId="0" applyNumberFormat="1" applyFont="1" applyFill="1" applyBorder="1" applyAlignment="1" applyProtection="1">
      <alignment horizontal="center"/>
    </xf>
    <xf numFmtId="0" fontId="9" fillId="2" borderId="0" xfId="0" applyFont="1" applyFill="1" applyBorder="1" applyAlignment="1"/>
    <xf numFmtId="166" fontId="1" fillId="2" borderId="0" xfId="0" applyNumberFormat="1" applyFont="1" applyFill="1" applyBorder="1" applyAlignment="1">
      <alignment horizontal="center"/>
    </xf>
    <xf numFmtId="166" fontId="3" fillId="2" borderId="0" xfId="0" applyNumberFormat="1" applyFont="1" applyFill="1" applyBorder="1" applyAlignment="1">
      <alignment horizontal="center"/>
    </xf>
    <xf numFmtId="166" fontId="4" fillId="2" borderId="0" xfId="0" applyNumberFormat="1" applyFont="1" applyFill="1" applyBorder="1" applyAlignment="1"/>
    <xf numFmtId="166" fontId="6" fillId="2" borderId="0" xfId="0" applyNumberFormat="1" applyFont="1" applyFill="1" applyBorder="1" applyAlignment="1">
      <alignment horizontal="center"/>
    </xf>
    <xf numFmtId="166" fontId="6" fillId="2" borderId="1" xfId="0" applyNumberFormat="1" applyFont="1" applyFill="1" applyBorder="1" applyAlignment="1">
      <alignment horizontal="center"/>
    </xf>
    <xf numFmtId="166" fontId="6" fillId="2" borderId="2" xfId="0" applyNumberFormat="1" applyFont="1" applyFill="1" applyBorder="1" applyAlignment="1">
      <alignment horizontal="center"/>
    </xf>
    <xf numFmtId="166" fontId="9" fillId="3" borderId="0" xfId="0" applyNumberFormat="1" applyFont="1" applyFill="1" applyBorder="1" applyAlignment="1">
      <alignment horizontal="center"/>
    </xf>
    <xf numFmtId="166" fontId="9" fillId="2" borderId="0" xfId="0" applyNumberFormat="1" applyFont="1" applyFill="1" applyBorder="1" applyAlignment="1">
      <alignment horizontal="center"/>
    </xf>
    <xf numFmtId="166" fontId="9" fillId="3" borderId="3" xfId="0" applyNumberFormat="1" applyFont="1" applyFill="1" applyBorder="1" applyAlignment="1">
      <alignment horizontal="center"/>
    </xf>
    <xf numFmtId="166" fontId="8" fillId="0" borderId="4" xfId="0" applyNumberFormat="1" applyFont="1" applyFill="1" applyBorder="1" applyAlignment="1">
      <alignment horizontal="center"/>
    </xf>
    <xf numFmtId="166" fontId="12" fillId="2" borderId="0" xfId="0" applyNumberFormat="1" applyFont="1" applyFill="1" applyBorder="1" applyAlignment="1"/>
    <xf numFmtId="166" fontId="9" fillId="2" borderId="3" xfId="0" applyNumberFormat="1" applyFont="1" applyFill="1" applyBorder="1" applyAlignment="1">
      <alignment horizontal="center"/>
    </xf>
    <xf numFmtId="166" fontId="8" fillId="2" borderId="0" xfId="0" applyNumberFormat="1" applyFont="1" applyFill="1" applyBorder="1" applyAlignment="1">
      <alignment horizontal="center"/>
    </xf>
    <xf numFmtId="166" fontId="8" fillId="2" borderId="4" xfId="0" applyNumberFormat="1" applyFont="1" applyFill="1" applyBorder="1" applyAlignment="1">
      <alignment horizontal="center"/>
    </xf>
    <xf numFmtId="166" fontId="13" fillId="2" borderId="0" xfId="0" applyNumberFormat="1" applyFont="1" applyFill="1" applyBorder="1" applyAlignment="1">
      <alignment horizontal="center"/>
    </xf>
    <xf numFmtId="166" fontId="14" fillId="2" borderId="0" xfId="0" applyNumberFormat="1" applyFont="1" applyFill="1" applyBorder="1" applyAlignment="1">
      <alignment horizontal="center"/>
    </xf>
    <xf numFmtId="166" fontId="8" fillId="2" borderId="5" xfId="0" applyNumberFormat="1" applyFont="1" applyFill="1" applyBorder="1" applyAlignment="1" applyProtection="1">
      <alignment horizontal="center" vertical="center"/>
    </xf>
    <xf numFmtId="166" fontId="17" fillId="2" borderId="0" xfId="0" applyNumberFormat="1" applyFont="1" applyFill="1" applyBorder="1" applyAlignment="1">
      <alignment horizontal="center"/>
    </xf>
    <xf numFmtId="166" fontId="31" fillId="0" borderId="0" xfId="0" applyNumberFormat="1" applyFont="1" applyFill="1" applyBorder="1" applyAlignment="1" applyProtection="1">
      <alignment horizontal="center"/>
    </xf>
    <xf numFmtId="166" fontId="32" fillId="0" borderId="0" xfId="0" applyNumberFormat="1" applyFont="1" applyFill="1" applyBorder="1" applyAlignment="1">
      <alignment horizontal="center"/>
    </xf>
    <xf numFmtId="167" fontId="8" fillId="0" borderId="0" xfId="0" applyNumberFormat="1" applyFont="1" applyFill="1" applyBorder="1" applyAlignment="1">
      <alignment horizontal="center" vertical="center"/>
    </xf>
    <xf numFmtId="164" fontId="1" fillId="2" borderId="0" xfId="0" applyNumberFormat="1" applyFont="1" applyFill="1" applyBorder="1" applyAlignment="1"/>
    <xf numFmtId="164" fontId="1" fillId="2" borderId="0" xfId="0" applyNumberFormat="1" applyFont="1" applyFill="1" applyBorder="1" applyAlignment="1">
      <alignment horizontal="center"/>
    </xf>
    <xf numFmtId="164" fontId="3" fillId="2" borderId="0" xfId="0" applyNumberFormat="1" applyFont="1" applyFill="1" applyBorder="1" applyAlignment="1"/>
    <xf numFmtId="164" fontId="3" fillId="2" borderId="0" xfId="0" applyNumberFormat="1" applyFont="1" applyFill="1" applyBorder="1" applyAlignment="1">
      <alignment horizontal="center"/>
    </xf>
    <xf numFmtId="164" fontId="4" fillId="2" borderId="0" xfId="0" applyNumberFormat="1" applyFont="1" applyFill="1" applyBorder="1" applyAlignment="1"/>
    <xf numFmtId="164" fontId="6" fillId="2" borderId="1" xfId="0" applyNumberFormat="1" applyFont="1" applyFill="1" applyBorder="1" applyAlignment="1">
      <alignment horizontal="right"/>
    </xf>
    <xf numFmtId="164" fontId="6" fillId="2" borderId="1" xfId="0" applyNumberFormat="1" applyFont="1" applyFill="1" applyBorder="1" applyAlignment="1">
      <alignment horizontal="center"/>
    </xf>
    <xf numFmtId="164" fontId="9" fillId="2" borderId="2" xfId="0" applyNumberFormat="1" applyFont="1" applyFill="1" applyBorder="1" applyAlignment="1"/>
    <xf numFmtId="164" fontId="9" fillId="2" borderId="2" xfId="0" applyNumberFormat="1" applyFont="1" applyFill="1" applyBorder="1" applyAlignment="1">
      <alignment horizontal="center"/>
    </xf>
    <xf numFmtId="164" fontId="9" fillId="3" borderId="0" xfId="0" applyNumberFormat="1" applyFont="1" applyFill="1" applyBorder="1" applyAlignment="1">
      <alignment horizontal="center"/>
    </xf>
    <xf numFmtId="164" fontId="9" fillId="2" borderId="0" xfId="0" applyNumberFormat="1" applyFont="1" applyFill="1" applyBorder="1" applyAlignment="1">
      <alignment horizontal="center"/>
    </xf>
    <xf numFmtId="164" fontId="9" fillId="3" borderId="3" xfId="0" applyNumberFormat="1" applyFont="1" applyFill="1" applyBorder="1" applyAlignment="1">
      <alignment horizontal="center"/>
    </xf>
    <xf numFmtId="164" fontId="12" fillId="2" borderId="0" xfId="0" applyNumberFormat="1" applyFont="1" applyFill="1" applyBorder="1" applyAlignment="1"/>
    <xf numFmtId="164" fontId="8" fillId="2" borderId="0" xfId="0" applyNumberFormat="1" applyFont="1" applyFill="1" applyBorder="1" applyAlignment="1">
      <alignment horizontal="center"/>
    </xf>
    <xf numFmtId="164" fontId="8" fillId="2" borderId="0" xfId="0" applyNumberFormat="1" applyFont="1" applyFill="1" applyBorder="1" applyAlignment="1" applyProtection="1">
      <alignment horizontal="center"/>
    </xf>
    <xf numFmtId="164" fontId="9" fillId="0" borderId="0" xfId="0" applyNumberFormat="1" applyFont="1" applyFill="1" applyBorder="1" applyAlignment="1">
      <alignment horizontal="center"/>
    </xf>
    <xf numFmtId="164" fontId="13" fillId="2" borderId="0" xfId="0" applyNumberFormat="1" applyFont="1" applyFill="1" applyBorder="1" applyAlignment="1">
      <alignment horizontal="center"/>
    </xf>
    <xf numFmtId="164" fontId="13" fillId="2" borderId="0" xfId="0" applyNumberFormat="1" applyFont="1" applyFill="1" applyBorder="1" applyAlignment="1" applyProtection="1">
      <alignment horizontal="center"/>
    </xf>
    <xf numFmtId="164" fontId="9" fillId="2" borderId="0" xfId="0" applyNumberFormat="1" applyFont="1" applyFill="1" applyBorder="1" applyAlignment="1"/>
    <xf numFmtId="164" fontId="14" fillId="2" borderId="0" xfId="0" applyNumberFormat="1" applyFont="1" applyFill="1" applyBorder="1" applyAlignment="1">
      <alignment horizontal="center"/>
    </xf>
    <xf numFmtId="164" fontId="8" fillId="0" borderId="0" xfId="0" applyNumberFormat="1" applyFont="1" applyFill="1" applyBorder="1" applyAlignment="1" applyProtection="1">
      <alignment horizontal="center"/>
    </xf>
    <xf numFmtId="164" fontId="31" fillId="2" borderId="0" xfId="0" applyNumberFormat="1" applyFont="1" applyFill="1" applyBorder="1" applyAlignment="1" applyProtection="1">
      <alignment horizontal="center"/>
    </xf>
    <xf numFmtId="164" fontId="8" fillId="2" borderId="7" xfId="0" applyNumberFormat="1" applyFont="1" applyFill="1" applyBorder="1" applyAlignment="1" applyProtection="1">
      <alignment horizontal="center"/>
    </xf>
    <xf numFmtId="164" fontId="31" fillId="4" borderId="0" xfId="0" applyNumberFormat="1" applyFont="1" applyFill="1" applyBorder="1" applyAlignment="1" applyProtection="1">
      <alignment horizontal="center"/>
    </xf>
    <xf numFmtId="164" fontId="6" fillId="2" borderId="0" xfId="0" applyNumberFormat="1" applyFont="1" applyFill="1" applyBorder="1" applyAlignment="1">
      <alignment horizontal="right"/>
    </xf>
    <xf numFmtId="164" fontId="6" fillId="2" borderId="0" xfId="0" applyNumberFormat="1" applyFont="1" applyFill="1" applyBorder="1" applyAlignment="1">
      <alignment horizontal="center"/>
    </xf>
    <xf numFmtId="164" fontId="8" fillId="2" borderId="0" xfId="0" applyNumberFormat="1" applyFont="1" applyFill="1" applyBorder="1" applyAlignment="1">
      <alignment horizontal="center" vertical="center"/>
    </xf>
    <xf numFmtId="164" fontId="14" fillId="2" borderId="0" xfId="0" applyNumberFormat="1" applyFont="1" applyFill="1" applyBorder="1" applyAlignment="1" applyProtection="1">
      <alignment horizontal="center" vertical="center"/>
    </xf>
    <xf numFmtId="164" fontId="9" fillId="2" borderId="0" xfId="0" applyNumberFormat="1" applyFont="1" applyFill="1" applyBorder="1" applyAlignment="1">
      <alignment horizontal="center" vertical="center"/>
    </xf>
    <xf numFmtId="164" fontId="8" fillId="2" borderId="5" xfId="0" applyNumberFormat="1" applyFont="1" applyFill="1" applyBorder="1" applyAlignment="1" applyProtection="1">
      <alignment horizontal="center" vertical="center"/>
    </xf>
    <xf numFmtId="164" fontId="31" fillId="4" borderId="0" xfId="0" applyNumberFormat="1" applyFont="1" applyFill="1" applyBorder="1" applyAlignment="1" applyProtection="1">
      <alignment horizontal="center" vertical="center"/>
    </xf>
    <xf numFmtId="164" fontId="32" fillId="4" borderId="0" xfId="0" applyNumberFormat="1" applyFont="1" applyFill="1" applyBorder="1" applyAlignment="1">
      <alignment horizontal="center"/>
    </xf>
    <xf numFmtId="164" fontId="24" fillId="3" borderId="0" xfId="0" applyNumberFormat="1" applyFont="1" applyFill="1" applyBorder="1" applyAlignment="1">
      <alignment horizontal="center"/>
    </xf>
    <xf numFmtId="164" fontId="24" fillId="2" borderId="0" xfId="0" applyNumberFormat="1" applyFont="1" applyFill="1" applyBorder="1" applyAlignment="1">
      <alignment horizontal="center"/>
    </xf>
    <xf numFmtId="164" fontId="24" fillId="0" borderId="0" xfId="0" applyNumberFormat="1" applyFont="1" applyFill="1" applyBorder="1" applyAlignment="1">
      <alignment horizontal="center"/>
    </xf>
    <xf numFmtId="164" fontId="15" fillId="2" borderId="0" xfId="0" applyNumberFormat="1" applyFont="1" applyFill="1" applyBorder="1" applyAlignment="1">
      <alignment horizontal="center"/>
    </xf>
    <xf numFmtId="164" fontId="9" fillId="2" borderId="0" xfId="0" applyNumberFormat="1" applyFont="1" applyFill="1" applyBorder="1" applyAlignment="1">
      <alignment horizontal="left"/>
    </xf>
    <xf numFmtId="164" fontId="17" fillId="2" borderId="0" xfId="0" applyNumberFormat="1" applyFont="1" applyFill="1" applyBorder="1" applyAlignment="1">
      <alignment horizontal="left" vertical="center"/>
    </xf>
    <xf numFmtId="164" fontId="17" fillId="2" borderId="0" xfId="0" applyNumberFormat="1" applyFont="1" applyFill="1" applyBorder="1" applyAlignment="1"/>
    <xf numFmtId="164" fontId="17" fillId="2" borderId="0" xfId="0" applyNumberFormat="1" applyFont="1" applyFill="1" applyBorder="1" applyAlignment="1">
      <alignment horizontal="center"/>
    </xf>
    <xf numFmtId="164" fontId="19" fillId="0" borderId="0" xfId="0" applyNumberFormat="1" applyFont="1"/>
    <xf numFmtId="164" fontId="1" fillId="2" borderId="0" xfId="0" applyNumberFormat="1" applyFont="1" applyFill="1" applyBorder="1"/>
    <xf numFmtId="166" fontId="8" fillId="2" borderId="0" xfId="0" applyNumberFormat="1" applyFont="1" applyFill="1" applyBorder="1" applyAlignment="1">
      <alignment horizontal="center" vertical="center"/>
    </xf>
    <xf numFmtId="166" fontId="4" fillId="2" borderId="0" xfId="0" applyNumberFormat="1" applyFont="1" applyFill="1" applyBorder="1" applyAlignment="1">
      <alignment horizontal="center"/>
    </xf>
    <xf numFmtId="166" fontId="6" fillId="2" borderId="0" xfId="0" applyNumberFormat="1" applyFont="1" applyFill="1" applyAlignment="1">
      <alignment horizontal="center"/>
    </xf>
    <xf numFmtId="166" fontId="9" fillId="2" borderId="2" xfId="0" applyNumberFormat="1" applyFont="1" applyFill="1" applyBorder="1" applyAlignment="1">
      <alignment horizontal="center"/>
    </xf>
    <xf numFmtId="166" fontId="12" fillId="2" borderId="0" xfId="0" applyNumberFormat="1" applyFont="1" applyFill="1" applyBorder="1" applyAlignment="1">
      <alignment horizontal="center"/>
    </xf>
    <xf numFmtId="166" fontId="26" fillId="0" borderId="0" xfId="0" applyNumberFormat="1" applyFont="1" applyFill="1" applyBorder="1" applyAlignment="1">
      <alignment horizontal="center"/>
    </xf>
    <xf numFmtId="166" fontId="8" fillId="0" borderId="0" xfId="0" applyNumberFormat="1" applyFont="1" applyFill="1" applyBorder="1" applyAlignment="1">
      <alignment horizontal="center"/>
    </xf>
    <xf numFmtId="166" fontId="8" fillId="2" borderId="7" xfId="0" applyNumberFormat="1" applyFont="1" applyFill="1" applyBorder="1" applyAlignment="1">
      <alignment horizontal="center"/>
    </xf>
    <xf numFmtId="166" fontId="8" fillId="2" borderId="5" xfId="0" applyNumberFormat="1" applyFont="1" applyFill="1" applyBorder="1" applyAlignment="1">
      <alignment horizontal="center" vertical="center"/>
    </xf>
    <xf numFmtId="166" fontId="17" fillId="2" borderId="0" xfId="0" applyNumberFormat="1" applyFont="1" applyFill="1" applyBorder="1" applyAlignment="1">
      <alignment horizontal="center" vertical="center"/>
    </xf>
    <xf numFmtId="170" fontId="9" fillId="3" borderId="0" xfId="0" applyNumberFormat="1" applyFont="1" applyFill="1" applyBorder="1" applyAlignment="1" applyProtection="1"/>
    <xf numFmtId="170" fontId="9" fillId="2" borderId="0" xfId="0" applyNumberFormat="1" applyFont="1" applyFill="1" applyBorder="1" applyAlignment="1" applyProtection="1"/>
    <xf numFmtId="2" fontId="9" fillId="3" borderId="0" xfId="0" applyNumberFormat="1" applyFont="1" applyFill="1" applyBorder="1" applyAlignment="1" applyProtection="1"/>
    <xf numFmtId="2" fontId="9" fillId="2" borderId="0" xfId="0" applyNumberFormat="1" applyFont="1" applyFill="1" applyBorder="1" applyAlignment="1" applyProtection="1"/>
    <xf numFmtId="2" fontId="9" fillId="0" borderId="0" xfId="0" applyNumberFormat="1" applyFont="1" applyFill="1" applyBorder="1" applyAlignment="1" applyProtection="1"/>
    <xf numFmtId="2" fontId="8" fillId="2" borderId="4" xfId="0" applyNumberFormat="1" applyFont="1" applyFill="1" applyBorder="1" applyAlignment="1" applyProtection="1"/>
    <xf numFmtId="2" fontId="8" fillId="2" borderId="0" xfId="0" applyNumberFormat="1" applyFont="1" applyFill="1" applyBorder="1" applyAlignment="1" applyProtection="1"/>
    <xf numFmtId="164" fontId="9" fillId="3" borderId="0" xfId="0" applyNumberFormat="1" applyFont="1" applyFill="1" applyBorder="1" applyAlignment="1" applyProtection="1"/>
    <xf numFmtId="164" fontId="9" fillId="2" borderId="0" xfId="0" applyNumberFormat="1" applyFont="1" applyFill="1" applyBorder="1" applyAlignment="1" applyProtection="1"/>
    <xf numFmtId="164" fontId="9" fillId="3" borderId="3" xfId="0" applyNumberFormat="1" applyFont="1" applyFill="1" applyBorder="1" applyAlignment="1" applyProtection="1"/>
    <xf numFmtId="164" fontId="8" fillId="2" borderId="4" xfId="0" applyNumberFormat="1" applyFont="1" applyFill="1" applyBorder="1" applyAlignment="1">
      <alignment horizontal="right"/>
    </xf>
    <xf numFmtId="2" fontId="9" fillId="3" borderId="3" xfId="0" applyNumberFormat="1" applyFont="1" applyFill="1" applyBorder="1" applyAlignment="1" applyProtection="1"/>
    <xf numFmtId="0" fontId="6" fillId="2" borderId="1" xfId="0" applyNumberFormat="1" applyFont="1" applyFill="1" applyBorder="1" applyAlignment="1">
      <alignment horizontal="center"/>
    </xf>
    <xf numFmtId="2" fontId="9" fillId="2" borderId="3" xfId="0" applyNumberFormat="1" applyFont="1" applyFill="1" applyBorder="1" applyAlignment="1" applyProtection="1"/>
    <xf numFmtId="164" fontId="8" fillId="2" borderId="0" xfId="0" applyNumberFormat="1" applyFont="1" applyFill="1" applyBorder="1" applyAlignment="1">
      <alignment horizontal="right"/>
    </xf>
    <xf numFmtId="164" fontId="8" fillId="0" borderId="0" xfId="0" applyNumberFormat="1" applyFont="1" applyFill="1" applyBorder="1" applyAlignment="1" applyProtection="1">
      <alignment horizontal="right"/>
    </xf>
    <xf numFmtId="0" fontId="8" fillId="2" borderId="0" xfId="0" applyFont="1" applyFill="1" applyBorder="1" applyAlignment="1" applyProtection="1">
      <alignment horizontal="right"/>
    </xf>
    <xf numFmtId="164" fontId="8" fillId="2" borderId="7" xfId="0" applyNumberFormat="1" applyFont="1" applyFill="1" applyBorder="1" applyAlignment="1" applyProtection="1">
      <alignment horizontal="right"/>
    </xf>
    <xf numFmtId="164" fontId="8" fillId="4" borderId="0" xfId="0" applyNumberFormat="1" applyFont="1" applyFill="1" applyBorder="1" applyAlignment="1" applyProtection="1">
      <alignment horizontal="center" vertical="center"/>
    </xf>
    <xf numFmtId="164" fontId="34" fillId="4" borderId="0" xfId="0" applyNumberFormat="1" applyFont="1" applyFill="1" applyBorder="1" applyAlignment="1">
      <alignment horizontal="center"/>
    </xf>
    <xf numFmtId="168" fontId="9" fillId="3" borderId="0" xfId="0" applyNumberFormat="1" applyFont="1" applyFill="1" applyBorder="1" applyAlignment="1" applyProtection="1"/>
    <xf numFmtId="168" fontId="9" fillId="2" borderId="0" xfId="0" applyNumberFormat="1" applyFont="1" applyFill="1" applyBorder="1" applyAlignment="1" applyProtection="1"/>
    <xf numFmtId="168" fontId="9" fillId="2" borderId="3" xfId="0" applyNumberFormat="1" applyFont="1" applyFill="1" applyBorder="1" applyAlignment="1" applyProtection="1"/>
    <xf numFmtId="168" fontId="8" fillId="2" borderId="0" xfId="0" applyNumberFormat="1" applyFont="1" applyFill="1" applyBorder="1" applyAlignment="1" applyProtection="1"/>
    <xf numFmtId="168" fontId="1" fillId="2" borderId="0" xfId="0" applyNumberFormat="1" applyFont="1" applyFill="1" applyBorder="1" applyAlignment="1"/>
    <xf numFmtId="168" fontId="8" fillId="2" borderId="0" xfId="0" applyNumberFormat="1" applyFont="1" applyFill="1" applyBorder="1" applyAlignment="1" applyProtection="1">
      <alignment horizontal="left"/>
    </xf>
    <xf numFmtId="172" fontId="8" fillId="2" borderId="0" xfId="0" applyNumberFormat="1" applyFont="1" applyFill="1" applyBorder="1" applyAlignment="1"/>
    <xf numFmtId="171" fontId="35" fillId="2" borderId="0" xfId="0" applyNumberFormat="1" applyFont="1" applyFill="1" applyBorder="1" applyAlignment="1"/>
    <xf numFmtId="173" fontId="8" fillId="2" borderId="0" xfId="0" applyNumberFormat="1" applyFont="1" applyFill="1" applyBorder="1" applyAlignment="1"/>
    <xf numFmtId="171" fontId="8" fillId="2" borderId="0" xfId="0" applyNumberFormat="1" applyFont="1" applyFill="1" applyBorder="1" applyAlignment="1"/>
    <xf numFmtId="172" fontId="33" fillId="2" borderId="0" xfId="0" applyNumberFormat="1" applyFont="1" applyFill="1" applyBorder="1" applyAlignment="1"/>
    <xf numFmtId="172" fontId="9" fillId="2" borderId="0" xfId="0" applyNumberFormat="1" applyFont="1" applyFill="1" applyBorder="1" applyAlignment="1"/>
    <xf numFmtId="164" fontId="26" fillId="2" borderId="3" xfId="0" applyNumberFormat="1" applyFont="1" applyFill="1" applyBorder="1" applyAlignment="1">
      <alignment horizontal="center"/>
    </xf>
    <xf numFmtId="2" fontId="26" fillId="2" borderId="3" xfId="0" applyNumberFormat="1" applyFont="1" applyFill="1" applyBorder="1" applyAlignment="1" applyProtection="1"/>
    <xf numFmtId="164" fontId="31" fillId="2" borderId="0" xfId="0" applyNumberFormat="1" applyFont="1" applyFill="1" applyBorder="1" applyAlignment="1">
      <alignment horizontal="center" vertical="center"/>
    </xf>
    <xf numFmtId="2" fontId="31" fillId="2" borderId="0" xfId="0" applyNumberFormat="1" applyFont="1" applyFill="1" applyBorder="1" applyAlignment="1" applyProtection="1"/>
    <xf numFmtId="2" fontId="31" fillId="2" borderId="0" xfId="0" applyNumberFormat="1" applyFont="1" applyFill="1" applyBorder="1" applyAlignment="1" applyProtection="1">
      <alignment horizontal="right" wrapText="1"/>
    </xf>
    <xf numFmtId="164" fontId="36" fillId="4" borderId="0" xfId="0" applyNumberFormat="1" applyFont="1" applyFill="1" applyBorder="1" applyAlignment="1" applyProtection="1">
      <alignment horizontal="center"/>
    </xf>
    <xf numFmtId="0" fontId="6" fillId="2" borderId="1" xfId="0" applyNumberFormat="1" applyFont="1" applyFill="1" applyBorder="1" applyAlignment="1">
      <alignment horizontal="center" wrapText="1"/>
    </xf>
    <xf numFmtId="0" fontId="6" fillId="2" borderId="1" xfId="0" applyNumberFormat="1" applyFont="1" applyFill="1" applyBorder="1" applyAlignment="1">
      <alignment wrapText="1"/>
    </xf>
    <xf numFmtId="166" fontId="6" fillId="2" borderId="1" xfId="0" applyNumberFormat="1" applyFont="1" applyFill="1" applyBorder="1" applyAlignment="1">
      <alignment horizontal="center" wrapText="1"/>
    </xf>
    <xf numFmtId="0" fontId="6" fillId="2" borderId="1" xfId="0" applyFont="1" applyFill="1" applyBorder="1" applyAlignment="1">
      <alignment horizontal="center" wrapText="1"/>
    </xf>
    <xf numFmtId="165" fontId="8" fillId="2" borderId="5" xfId="0" applyNumberFormat="1" applyFont="1" applyFill="1" applyBorder="1" applyAlignment="1" applyProtection="1">
      <alignment horizontal="center" vertical="center"/>
    </xf>
    <xf numFmtId="165" fontId="8" fillId="2" borderId="5" xfId="0" applyNumberFormat="1" applyFont="1" applyFill="1" applyBorder="1" applyAlignment="1" applyProtection="1">
      <alignment horizontal="center"/>
    </xf>
    <xf numFmtId="165" fontId="9" fillId="2" borderId="3" xfId="0" applyNumberFormat="1" applyFont="1" applyFill="1" applyBorder="1" applyAlignment="1">
      <alignment horizontal="center"/>
    </xf>
    <xf numFmtId="165" fontId="8" fillId="2" borderId="4" xfId="0" applyNumberFormat="1" applyFont="1" applyFill="1" applyBorder="1" applyAlignment="1" applyProtection="1">
      <alignment horizontal="center"/>
    </xf>
    <xf numFmtId="165" fontId="8" fillId="2" borderId="0" xfId="0" applyNumberFormat="1" applyFont="1" applyFill="1" applyBorder="1" applyAlignment="1" applyProtection="1">
      <alignment horizontal="center"/>
    </xf>
    <xf numFmtId="164" fontId="14" fillId="2" borderId="3" xfId="0" applyNumberFormat="1" applyFont="1" applyFill="1" applyBorder="1" applyAlignment="1" applyProtection="1">
      <alignment horizontal="center"/>
    </xf>
    <xf numFmtId="165" fontId="8" fillId="2" borderId="0" xfId="0" applyNumberFormat="1" applyFont="1" applyFill="1" applyBorder="1" applyAlignment="1">
      <alignment horizontal="center"/>
    </xf>
    <xf numFmtId="165" fontId="1" fillId="2" borderId="0" xfId="0" applyNumberFormat="1" applyFont="1" applyFill="1" applyBorder="1" applyAlignment="1">
      <alignment horizontal="center"/>
    </xf>
    <xf numFmtId="165" fontId="8" fillId="2" borderId="0" xfId="0" applyNumberFormat="1" applyFont="1" applyFill="1" applyBorder="1" applyAlignment="1">
      <alignment horizontal="center" vertical="center"/>
    </xf>
    <xf numFmtId="165" fontId="31" fillId="2" borderId="0" xfId="0" applyNumberFormat="1" applyFont="1" applyFill="1" applyBorder="1" applyAlignment="1">
      <alignment horizontal="center"/>
    </xf>
    <xf numFmtId="165" fontId="9" fillId="3" borderId="0" xfId="0" applyNumberFormat="1" applyFont="1" applyFill="1" applyBorder="1" applyAlignment="1">
      <alignment horizontal="center"/>
    </xf>
    <xf numFmtId="165" fontId="9" fillId="2" borderId="0" xfId="0" applyNumberFormat="1" applyFont="1" applyFill="1" applyBorder="1" applyAlignment="1">
      <alignment horizontal="center"/>
    </xf>
    <xf numFmtId="168" fontId="9" fillId="2" borderId="0" xfId="0" applyNumberFormat="1" applyFont="1" applyFill="1" applyBorder="1" applyAlignment="1">
      <alignment horizontal="center"/>
    </xf>
    <xf numFmtId="168" fontId="9" fillId="3" borderId="0" xfId="0" applyNumberFormat="1" applyFont="1" applyFill="1" applyBorder="1" applyAlignment="1">
      <alignment horizontal="center"/>
    </xf>
    <xf numFmtId="168" fontId="9" fillId="3" borderId="3" xfId="0" applyNumberFormat="1" applyFont="1" applyFill="1" applyBorder="1" applyAlignment="1">
      <alignment horizontal="center"/>
    </xf>
    <xf numFmtId="168" fontId="8" fillId="2" borderId="0" xfId="0" applyNumberFormat="1" applyFont="1" applyFill="1" applyBorder="1" applyAlignment="1">
      <alignment horizontal="center"/>
    </xf>
    <xf numFmtId="168" fontId="8" fillId="2" borderId="0" xfId="0" applyNumberFormat="1" applyFont="1" applyFill="1" applyBorder="1" applyAlignment="1" applyProtection="1">
      <alignment horizontal="center"/>
    </xf>
    <xf numFmtId="168" fontId="9" fillId="2" borderId="3" xfId="0" applyNumberFormat="1" applyFont="1" applyFill="1" applyBorder="1" applyAlignment="1">
      <alignment horizontal="center"/>
    </xf>
    <xf numFmtId="168" fontId="26" fillId="2" borderId="3" xfId="0" applyNumberFormat="1" applyFont="1" applyFill="1" applyBorder="1" applyAlignment="1">
      <alignment horizontal="center"/>
    </xf>
    <xf numFmtId="168" fontId="26" fillId="0" borderId="0" xfId="0" applyNumberFormat="1" applyFont="1" applyFill="1" applyBorder="1" applyAlignment="1">
      <alignment horizontal="center"/>
    </xf>
    <xf numFmtId="168" fontId="8" fillId="0" borderId="4" xfId="0" applyNumberFormat="1" applyFont="1" applyFill="1" applyBorder="1" applyAlignment="1">
      <alignment horizontal="center"/>
    </xf>
    <xf numFmtId="168" fontId="8" fillId="2" borderId="4" xfId="0" applyNumberFormat="1" applyFont="1" applyFill="1" applyBorder="1" applyAlignment="1">
      <alignment horizontal="center"/>
    </xf>
    <xf numFmtId="168" fontId="8" fillId="2" borderId="4" xfId="0" applyNumberFormat="1" applyFont="1" applyFill="1" applyBorder="1" applyAlignment="1" applyProtection="1">
      <alignment horizontal="center"/>
    </xf>
    <xf numFmtId="168" fontId="30" fillId="3" borderId="0" xfId="0" applyNumberFormat="1" applyFont="1" applyFill="1" applyBorder="1" applyAlignment="1">
      <alignment horizontal="center"/>
    </xf>
    <xf numFmtId="168" fontId="26" fillId="2" borderId="0" xfId="0" applyNumberFormat="1" applyFont="1" applyFill="1" applyBorder="1" applyAlignment="1">
      <alignment horizontal="center"/>
    </xf>
    <xf numFmtId="168" fontId="8" fillId="0" borderId="4" xfId="0" applyNumberFormat="1" applyFont="1" applyFill="1" applyBorder="1" applyAlignment="1" applyProtection="1">
      <alignment horizontal="center"/>
    </xf>
    <xf numFmtId="164" fontId="33" fillId="4" borderId="0" xfId="0" applyNumberFormat="1" applyFont="1" applyFill="1" applyBorder="1" applyAlignment="1" applyProtection="1">
      <alignment horizontal="center" vertical="center"/>
    </xf>
    <xf numFmtId="174" fontId="1" fillId="2" borderId="0" xfId="0" applyNumberFormat="1" applyFont="1" applyFill="1" applyBorder="1" applyAlignment="1">
      <alignment horizontal="center"/>
    </xf>
    <xf numFmtId="174" fontId="3" fillId="2" borderId="0" xfId="0" applyNumberFormat="1" applyFont="1" applyFill="1" applyBorder="1" applyAlignment="1">
      <alignment horizontal="center"/>
    </xf>
    <xf numFmtId="174" fontId="4" fillId="2" borderId="0" xfId="0" applyNumberFormat="1" applyFont="1" applyFill="1" applyBorder="1" applyAlignment="1"/>
    <xf numFmtId="174" fontId="6" fillId="2" borderId="0" xfId="0" applyNumberFormat="1" applyFont="1" applyFill="1" applyBorder="1" applyAlignment="1">
      <alignment horizontal="center"/>
    </xf>
    <xf numFmtId="174" fontId="6" fillId="2" borderId="1" xfId="0" applyNumberFormat="1" applyFont="1" applyFill="1" applyBorder="1" applyAlignment="1">
      <alignment horizontal="center"/>
    </xf>
    <xf numFmtId="174" fontId="15" fillId="2" borderId="0" xfId="0" applyNumberFormat="1" applyFont="1" applyFill="1" applyBorder="1" applyAlignment="1">
      <alignment horizontal="center"/>
    </xf>
    <xf numFmtId="174" fontId="9" fillId="2" borderId="0" xfId="0" applyNumberFormat="1" applyFont="1" applyFill="1" applyBorder="1" applyAlignment="1">
      <alignment horizontal="left"/>
    </xf>
    <xf numFmtId="174" fontId="17" fillId="2" borderId="0" xfId="0" applyNumberFormat="1" applyFont="1" applyFill="1" applyBorder="1" applyAlignment="1">
      <alignment horizontal="left" vertical="center"/>
    </xf>
    <xf numFmtId="174" fontId="17" fillId="2" borderId="0" xfId="0" applyNumberFormat="1" applyFont="1" applyFill="1" applyBorder="1" applyAlignment="1">
      <alignment horizontal="center"/>
    </xf>
    <xf numFmtId="171" fontId="1" fillId="2" borderId="0" xfId="0" applyNumberFormat="1" applyFont="1" applyFill="1" applyBorder="1" applyAlignment="1"/>
    <xf numFmtId="171" fontId="3" fillId="2" borderId="0" xfId="0" applyNumberFormat="1" applyFont="1" applyFill="1" applyBorder="1" applyAlignment="1"/>
    <xf numFmtId="171" fontId="4" fillId="2" borderId="0" xfId="0" applyNumberFormat="1" applyFont="1" applyFill="1" applyBorder="1" applyAlignment="1"/>
    <xf numFmtId="171" fontId="6" fillId="2" borderId="1" xfId="0" applyNumberFormat="1" applyFont="1" applyFill="1" applyBorder="1" applyAlignment="1"/>
    <xf numFmtId="171" fontId="9" fillId="2" borderId="2" xfId="0" applyNumberFormat="1" applyFont="1" applyFill="1" applyBorder="1" applyAlignment="1"/>
    <xf numFmtId="171" fontId="9" fillId="2" borderId="0" xfId="0" applyNumberFormat="1" applyFont="1" applyFill="1" applyBorder="1" applyAlignment="1">
      <alignment horizontal="center"/>
    </xf>
    <xf numFmtId="171" fontId="13" fillId="2" borderId="0" xfId="0" applyNumberFormat="1" applyFont="1" applyFill="1" applyBorder="1" applyAlignment="1" applyProtection="1">
      <alignment horizontal="center"/>
    </xf>
    <xf numFmtId="171" fontId="1" fillId="2" borderId="0" xfId="0" applyNumberFormat="1" applyFont="1" applyFill="1" applyBorder="1"/>
    <xf numFmtId="171" fontId="31" fillId="4" borderId="0" xfId="0" applyNumberFormat="1" applyFont="1" applyFill="1" applyBorder="1" applyAlignment="1" applyProtection="1">
      <alignment horizontal="center"/>
    </xf>
    <xf numFmtId="171" fontId="6" fillId="2" borderId="0" xfId="0" applyNumberFormat="1" applyFont="1" applyFill="1" applyBorder="1" applyAlignment="1"/>
    <xf numFmtId="171" fontId="15" fillId="2" borderId="0" xfId="0" applyNumberFormat="1" applyFont="1" applyFill="1" applyBorder="1" applyAlignment="1">
      <alignment horizontal="center"/>
    </xf>
    <xf numFmtId="171" fontId="9" fillId="2" borderId="0" xfId="0" applyNumberFormat="1" applyFont="1" applyFill="1" applyBorder="1" applyAlignment="1">
      <alignment horizontal="left"/>
    </xf>
    <xf numFmtId="171" fontId="17" fillId="2" borderId="0" xfId="0" applyNumberFormat="1" applyFont="1" applyFill="1" applyBorder="1" applyAlignment="1">
      <alignment horizontal="left" vertical="center"/>
    </xf>
    <xf numFmtId="171" fontId="17" fillId="2" borderId="0" xfId="0" applyNumberFormat="1" applyFont="1" applyFill="1" applyBorder="1" applyAlignment="1"/>
    <xf numFmtId="174" fontId="1" fillId="2" borderId="0" xfId="0" applyNumberFormat="1" applyFont="1" applyFill="1" applyBorder="1" applyAlignment="1">
      <alignment horizontal="center" vertical="top"/>
    </xf>
    <xf numFmtId="164" fontId="8" fillId="0" borderId="4" xfId="0" applyNumberFormat="1" applyFont="1" applyFill="1" applyBorder="1" applyAlignment="1">
      <alignment horizontal="center"/>
    </xf>
    <xf numFmtId="164" fontId="8" fillId="2" borderId="4" xfId="0" applyNumberFormat="1" applyFont="1" applyFill="1" applyBorder="1" applyAlignment="1">
      <alignment horizontal="center"/>
    </xf>
    <xf numFmtId="164" fontId="9" fillId="2" borderId="3" xfId="0" applyNumberFormat="1" applyFont="1" applyFill="1" applyBorder="1" applyAlignment="1">
      <alignment horizontal="center"/>
    </xf>
    <xf numFmtId="166" fontId="1" fillId="2" borderId="0" xfId="0" applyNumberFormat="1" applyFont="1" applyFill="1" applyBorder="1" applyAlignment="1">
      <alignment horizontal="center" vertical="top"/>
    </xf>
    <xf numFmtId="175" fontId="8" fillId="2" borderId="0" xfId="0" applyNumberFormat="1" applyFont="1" applyFill="1" applyBorder="1" applyAlignment="1" applyProtection="1"/>
    <xf numFmtId="165" fontId="31" fillId="2" borderId="0" xfId="0" applyNumberFormat="1" applyFont="1" applyFill="1" applyBorder="1" applyAlignment="1" applyProtection="1">
      <alignment horizontal="center"/>
    </xf>
    <xf numFmtId="171" fontId="36" fillId="2" borderId="0" xfId="0" applyNumberFormat="1" applyFont="1" applyFill="1" applyBorder="1" applyAlignment="1" applyProtection="1">
      <alignment horizontal="center"/>
    </xf>
    <xf numFmtId="165" fontId="8" fillId="0" borderId="7" xfId="0" applyNumberFormat="1" applyFont="1" applyFill="1" applyBorder="1" applyAlignment="1" applyProtection="1">
      <alignment horizontal="center"/>
    </xf>
    <xf numFmtId="168" fontId="1" fillId="2" borderId="0" xfId="0" applyNumberFormat="1" applyFont="1" applyFill="1" applyBorder="1"/>
    <xf numFmtId="168" fontId="14" fillId="2" borderId="0" xfId="0" applyNumberFormat="1" applyFont="1" applyFill="1" applyBorder="1" applyAlignment="1">
      <alignment horizontal="center"/>
    </xf>
    <xf numFmtId="0" fontId="7" fillId="2" borderId="0" xfId="0" applyFont="1" applyFill="1" applyBorder="1" applyAlignment="1">
      <alignment horizontal="left" wrapText="1"/>
    </xf>
    <xf numFmtId="0" fontId="8" fillId="2" borderId="0" xfId="0" applyFont="1" applyFill="1" applyBorder="1" applyAlignment="1" applyProtection="1">
      <alignment wrapText="1"/>
    </xf>
    <xf numFmtId="0" fontId="9" fillId="2" borderId="0" xfId="0" applyFont="1" applyFill="1" applyBorder="1" applyAlignment="1"/>
    <xf numFmtId="0" fontId="8" fillId="2" borderId="0" xfId="0" applyFont="1" applyFill="1" applyBorder="1" applyAlignment="1" applyProtection="1">
      <alignment horizontal="left" wrapText="1"/>
    </xf>
    <xf numFmtId="0" fontId="5" fillId="2" borderId="0" xfId="0" applyFont="1" applyFill="1" applyAlignment="1">
      <alignment horizontal="left" vertical="center"/>
    </xf>
    <xf numFmtId="164" fontId="29" fillId="2" borderId="0" xfId="0" applyNumberFormat="1" applyFont="1" applyFill="1" applyBorder="1" applyAlignment="1">
      <alignment horizontal="center"/>
    </xf>
    <xf numFmtId="0" fontId="7" fillId="2" borderId="0" xfId="0" applyFont="1" applyFill="1" applyAlignment="1">
      <alignment horizontal="left" wrapText="1"/>
    </xf>
    <xf numFmtId="0" fontId="6" fillId="0"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11</xdr:col>
      <xdr:colOff>870173</xdr:colOff>
      <xdr:row>0</xdr:row>
      <xdr:rowOff>152400</xdr:rowOff>
    </xdr:to>
    <xdr:grpSp>
      <xdr:nvGrpSpPr>
        <xdr:cNvPr id="2" name="Group 1"/>
        <xdr:cNvGrpSpPr>
          <a:grpSpLocks noChangeAspect="1"/>
        </xdr:cNvGrpSpPr>
      </xdr:nvGrpSpPr>
      <xdr:grpSpPr bwMode="auto">
        <a:xfrm>
          <a:off x="0" y="28575"/>
          <a:ext cx="6927096" cy="123825"/>
          <a:chOff x="1" y="16"/>
          <a:chExt cx="738" cy="13"/>
        </a:xfrm>
      </xdr:grpSpPr>
      <xdr:pic>
        <xdr:nvPicPr>
          <xdr:cNvPr id="3" name="Picture 2"/>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4" name="Line 3"/>
          <xdr:cNvSpPr>
            <a:spLocks noChangeAspect="1" noChangeShapeType="1"/>
          </xdr:cNvSpPr>
        </xdr:nvSpPr>
        <xdr:spPr bwMode="auto">
          <a:xfrm>
            <a:off x="1" y="29"/>
            <a:ext cx="738" cy="0"/>
          </a:xfrm>
          <a:prstGeom prst="line">
            <a:avLst/>
          </a:prstGeom>
          <a:noFill/>
          <a:ln w="25400">
            <a:solidFill>
              <a:srgbClr val="000000"/>
            </a:solidFill>
            <a:round/>
            <a:headEnd/>
            <a:tailEnd/>
          </a:ln>
        </xdr:spPr>
      </xdr:sp>
    </xdr:grpSp>
    <xdr:clientData/>
  </xdr:twoCellAnchor>
  <xdr:twoCellAnchor>
    <xdr:from>
      <xdr:col>0</xdr:col>
      <xdr:colOff>0</xdr:colOff>
      <xdr:row>111</xdr:row>
      <xdr:rowOff>53975</xdr:rowOff>
    </xdr:from>
    <xdr:to>
      <xdr:col>11</xdr:col>
      <xdr:colOff>762106</xdr:colOff>
      <xdr:row>111</xdr:row>
      <xdr:rowOff>175683</xdr:rowOff>
    </xdr:to>
    <xdr:grpSp>
      <xdr:nvGrpSpPr>
        <xdr:cNvPr id="5" name="Group 4"/>
        <xdr:cNvGrpSpPr>
          <a:grpSpLocks noChangeAspect="1"/>
        </xdr:cNvGrpSpPr>
      </xdr:nvGrpSpPr>
      <xdr:grpSpPr bwMode="auto">
        <a:xfrm>
          <a:off x="0" y="18991629"/>
          <a:ext cx="6819029" cy="121708"/>
          <a:chOff x="1" y="16"/>
          <a:chExt cx="746" cy="13"/>
        </a:xfrm>
      </xdr:grpSpPr>
      <xdr:pic>
        <xdr:nvPicPr>
          <xdr:cNvPr id="6" name="Picture 5"/>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7" name="Line 18"/>
          <xdr:cNvSpPr>
            <a:spLocks noChangeAspect="1" noChangeShapeType="1"/>
          </xdr:cNvSpPr>
        </xdr:nvSpPr>
        <xdr:spPr bwMode="auto">
          <a:xfrm>
            <a:off x="1" y="29"/>
            <a:ext cx="746" cy="0"/>
          </a:xfrm>
          <a:prstGeom prst="line">
            <a:avLst/>
          </a:prstGeom>
          <a:noFill/>
          <a:ln w="25400">
            <a:solidFill>
              <a:srgbClr val="000000"/>
            </a:solidFill>
            <a:round/>
            <a:headEnd/>
            <a:tailEnd/>
          </a:ln>
        </xdr:spPr>
      </xdr:sp>
    </xdr:grpSp>
    <xdr:clientData/>
  </xdr:twoCellAnchor>
  <xdr:twoCellAnchor>
    <xdr:from>
      <xdr:col>0</xdr:col>
      <xdr:colOff>9525</xdr:colOff>
      <xdr:row>56</xdr:row>
      <xdr:rowOff>85725</xdr:rowOff>
    </xdr:from>
    <xdr:to>
      <xdr:col>11</xdr:col>
      <xdr:colOff>862627</xdr:colOff>
      <xdr:row>56</xdr:row>
      <xdr:rowOff>209550</xdr:rowOff>
    </xdr:to>
    <xdr:grpSp>
      <xdr:nvGrpSpPr>
        <xdr:cNvPr id="8" name="Group 7"/>
        <xdr:cNvGrpSpPr>
          <a:grpSpLocks noChangeAspect="1"/>
        </xdr:cNvGrpSpPr>
      </xdr:nvGrpSpPr>
      <xdr:grpSpPr bwMode="auto">
        <a:xfrm>
          <a:off x="9525" y="9683994"/>
          <a:ext cx="6910025" cy="123825"/>
          <a:chOff x="1" y="16"/>
          <a:chExt cx="736" cy="13"/>
        </a:xfrm>
      </xdr:grpSpPr>
      <xdr:pic>
        <xdr:nvPicPr>
          <xdr:cNvPr id="9" name="Picture 8"/>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 y="16"/>
            <a:ext cx="112" cy="9"/>
          </a:xfrm>
          <a:prstGeom prst="rect">
            <a:avLst/>
          </a:prstGeom>
          <a:noFill/>
          <a:ln w="9525">
            <a:noFill/>
            <a:miter lim="800000"/>
            <a:headEnd/>
            <a:tailEnd/>
          </a:ln>
        </xdr:spPr>
      </xdr:pic>
      <xdr:sp macro="" textlink="">
        <xdr:nvSpPr>
          <xdr:cNvPr id="10" name="Line 21"/>
          <xdr:cNvSpPr>
            <a:spLocks noChangeAspect="1" noChangeShapeType="1"/>
          </xdr:cNvSpPr>
        </xdr:nvSpPr>
        <xdr:spPr bwMode="auto">
          <a:xfrm>
            <a:off x="1" y="29"/>
            <a:ext cx="736" cy="0"/>
          </a:xfrm>
          <a:prstGeom prst="line">
            <a:avLst/>
          </a:prstGeom>
          <a:noFill/>
          <a:ln w="25400">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75"/>
  <sheetViews>
    <sheetView showGridLines="0" tabSelected="1" defaultGridColor="0" view="pageBreakPreview" colorId="12" zoomScale="130" zoomScaleNormal="150" zoomScaleSheetLayoutView="130" workbookViewId="0">
      <pane xSplit="2" ySplit="6" topLeftCell="E145" activePane="bottomRight" state="frozen"/>
      <selection pane="topRight" activeCell="C1" sqref="C1"/>
      <selection pane="bottomLeft" activeCell="A7" sqref="A7"/>
      <selection pane="bottomRight" activeCell="A150" sqref="A149:L150"/>
    </sheetView>
  </sheetViews>
  <sheetFormatPr defaultColWidth="10.81640625" defaultRowHeight="12.75" customHeight="1" outlineLevelRow="1"/>
  <cols>
    <col min="1" max="1" width="17.54296875" style="2" customWidth="1"/>
    <col min="2" max="2" width="6.1796875" style="2" customWidth="1"/>
    <col min="3" max="3" width="8.26953125" style="2" hidden="1" customWidth="1"/>
    <col min="4" max="4" width="10.453125" style="2" hidden="1" customWidth="1"/>
    <col min="5" max="6" width="7.81640625" style="188" bestFit="1" customWidth="1"/>
    <col min="7" max="7" width="10.54296875" style="148" bestFit="1" customWidth="1"/>
    <col min="8" max="8" width="8.453125" style="188" bestFit="1" customWidth="1"/>
    <col min="9" max="9" width="9" style="284" bestFit="1" customWidth="1"/>
    <col min="10" max="10" width="10.81640625" style="268" bestFit="1" customWidth="1"/>
    <col min="11" max="11" width="8.453125" style="126" customWidth="1"/>
    <col min="12" max="12" width="14" style="58" customWidth="1"/>
    <col min="13" max="13" width="11.81640625" style="42" hidden="1" customWidth="1"/>
    <col min="14" max="14" width="8.7265625" style="42" hidden="1" customWidth="1"/>
    <col min="15" max="15" width="1.1796875" style="42" customWidth="1"/>
    <col min="16" max="17" width="1.453125" style="42" customWidth="1"/>
    <col min="18" max="18" width="1.26953125" style="42" customWidth="1"/>
    <col min="19" max="16384" width="10.81640625" style="42"/>
  </cols>
  <sheetData>
    <row r="1" spans="1:13" s="2" customFormat="1" ht="15" customHeight="1">
      <c r="A1" s="1"/>
      <c r="B1" s="1"/>
      <c r="C1" s="1"/>
      <c r="D1" s="1"/>
      <c r="E1" s="147"/>
      <c r="F1" s="147"/>
      <c r="G1" s="148"/>
      <c r="H1" s="147"/>
      <c r="I1" s="277"/>
      <c r="J1" s="268"/>
      <c r="K1" s="126"/>
      <c r="L1" s="58"/>
    </row>
    <row r="2" spans="1:13" s="5" customFormat="1" ht="16.75" customHeight="1">
      <c r="A2" s="3" t="s">
        <v>0</v>
      </c>
      <c r="B2" s="3"/>
      <c r="C2" s="3"/>
      <c r="D2" s="3"/>
      <c r="E2" s="149"/>
      <c r="F2" s="149"/>
      <c r="G2" s="150"/>
      <c r="H2" s="149"/>
      <c r="I2" s="278"/>
      <c r="J2" s="269"/>
      <c r="K2" s="127"/>
      <c r="L2" s="59"/>
      <c r="M2" s="4"/>
    </row>
    <row r="3" spans="1:13" s="4" customFormat="1" ht="13">
      <c r="A3" s="6" t="s">
        <v>118</v>
      </c>
      <c r="B3" s="6"/>
      <c r="C3" s="6"/>
      <c r="D3" s="6"/>
      <c r="E3" s="151"/>
      <c r="F3" s="151"/>
      <c r="G3" s="151"/>
      <c r="H3" s="151"/>
      <c r="I3" s="279"/>
      <c r="J3" s="270"/>
      <c r="K3" s="190"/>
      <c r="L3" s="60"/>
    </row>
    <row r="4" spans="1:13" s="4" customFormat="1" ht="21" customHeight="1">
      <c r="A4" s="6"/>
      <c r="B4" s="6"/>
      <c r="C4" s="6"/>
      <c r="D4" s="6"/>
      <c r="E4" s="151"/>
      <c r="F4" s="151"/>
      <c r="G4" s="151"/>
      <c r="H4" s="151"/>
      <c r="I4" s="279"/>
      <c r="J4" s="270"/>
      <c r="K4" s="190"/>
      <c r="L4" s="60"/>
    </row>
    <row r="5" spans="1:13" s="8" customFormat="1" ht="13.5">
      <c r="A5" s="7"/>
      <c r="B5" s="7"/>
      <c r="C5" s="307" t="s">
        <v>129</v>
      </c>
      <c r="D5" s="307"/>
      <c r="E5" s="307"/>
      <c r="F5" s="307"/>
      <c r="G5" s="307"/>
      <c r="H5" s="307"/>
      <c r="I5" s="307"/>
      <c r="J5" s="271"/>
      <c r="K5" s="191"/>
      <c r="L5" s="44"/>
    </row>
    <row r="6" spans="1:13" s="8" customFormat="1" ht="25">
      <c r="A6" s="238" t="s">
        <v>124</v>
      </c>
      <c r="B6" s="9"/>
      <c r="C6" s="211" t="s">
        <v>128</v>
      </c>
      <c r="D6" s="237" t="s">
        <v>127</v>
      </c>
      <c r="E6" s="153" t="s">
        <v>6</v>
      </c>
      <c r="F6" s="152" t="s">
        <v>115</v>
      </c>
      <c r="G6" s="153" t="s">
        <v>111</v>
      </c>
      <c r="H6" s="153" t="s">
        <v>112</v>
      </c>
      <c r="I6" s="280" t="s">
        <v>110</v>
      </c>
      <c r="J6" s="272" t="s">
        <v>10</v>
      </c>
      <c r="K6" s="239" t="s">
        <v>125</v>
      </c>
      <c r="L6" s="240" t="s">
        <v>126</v>
      </c>
    </row>
    <row r="7" spans="1:13" s="11" customFormat="1" ht="11.5">
      <c r="A7" s="10" t="s">
        <v>12</v>
      </c>
      <c r="B7" s="10"/>
      <c r="C7" s="10"/>
      <c r="D7" s="10"/>
      <c r="E7" s="162"/>
      <c r="F7" s="154"/>
      <c r="G7" s="155"/>
      <c r="H7" s="154"/>
      <c r="I7" s="281"/>
      <c r="J7" s="131"/>
      <c r="K7" s="192"/>
      <c r="L7" s="61"/>
    </row>
    <row r="8" spans="1:13" s="11" customFormat="1" ht="13.15" customHeight="1">
      <c r="A8" s="82" t="s">
        <v>13</v>
      </c>
      <c r="B8" s="82"/>
      <c r="C8" s="206">
        <v>8.7222000000000008</v>
      </c>
      <c r="D8" s="199">
        <v>1.35</v>
      </c>
      <c r="E8" s="254">
        <f t="shared" ref="E8:E22" si="0">C8+D8</f>
        <v>10.0722</v>
      </c>
      <c r="F8" s="254">
        <v>4.7549999999999999</v>
      </c>
      <c r="G8" s="254">
        <f t="shared" ref="G8:G21" si="1">E8+F8</f>
        <v>14.827200000000001</v>
      </c>
      <c r="H8" s="254">
        <v>1.25</v>
      </c>
      <c r="I8" s="156">
        <f t="shared" ref="I8:I21" si="2">G8+H8</f>
        <v>16.077200000000001</v>
      </c>
      <c r="J8" s="132">
        <v>5321.69</v>
      </c>
      <c r="K8" s="132">
        <f>J8/I8</f>
        <v>331.00850894434348</v>
      </c>
      <c r="L8" s="83">
        <v>30</v>
      </c>
    </row>
    <row r="9" spans="1:13" s="11" customFormat="1" ht="13.15" customHeight="1">
      <c r="A9" s="84" t="s">
        <v>14</v>
      </c>
      <c r="B9" s="84"/>
      <c r="C9" s="207">
        <v>4.7511000000000001</v>
      </c>
      <c r="D9" s="200">
        <v>1.5</v>
      </c>
      <c r="E9" s="253">
        <f t="shared" si="0"/>
        <v>6.2511000000000001</v>
      </c>
      <c r="F9" s="253">
        <v>3.5</v>
      </c>
      <c r="G9" s="253">
        <f t="shared" si="1"/>
        <v>9.751100000000001</v>
      </c>
      <c r="H9" s="253">
        <v>1.25</v>
      </c>
      <c r="I9" s="157">
        <f t="shared" si="2"/>
        <v>11.001100000000001</v>
      </c>
      <c r="J9" s="133">
        <v>2403</v>
      </c>
      <c r="K9" s="133">
        <f t="shared" ref="K9:K20" si="3">J9/I9</f>
        <v>218.43270218432701</v>
      </c>
      <c r="L9" s="12">
        <v>13</v>
      </c>
    </row>
    <row r="10" spans="1:13" s="11" customFormat="1" ht="13.15" customHeight="1">
      <c r="A10" s="82" t="s">
        <v>15</v>
      </c>
      <c r="B10" s="82"/>
      <c r="C10" s="206">
        <f>0.4794+8.9868</f>
        <v>9.4662000000000006</v>
      </c>
      <c r="D10" s="206">
        <v>1.4</v>
      </c>
      <c r="E10" s="254">
        <f t="shared" si="0"/>
        <v>10.866200000000001</v>
      </c>
      <c r="F10" s="254">
        <v>6.181</v>
      </c>
      <c r="G10" s="254">
        <f t="shared" si="1"/>
        <v>17.0472</v>
      </c>
      <c r="H10" s="254"/>
      <c r="I10" s="156">
        <f t="shared" si="2"/>
        <v>17.0472</v>
      </c>
      <c r="J10" s="132">
        <v>6225.0551999999998</v>
      </c>
      <c r="K10" s="132">
        <f t="shared" si="3"/>
        <v>365.16584541742924</v>
      </c>
      <c r="L10" s="83">
        <v>50</v>
      </c>
    </row>
    <row r="11" spans="1:13" s="11" customFormat="1" ht="13.15" customHeight="1">
      <c r="A11" s="84" t="s">
        <v>16</v>
      </c>
      <c r="B11" s="84"/>
      <c r="C11" s="207">
        <v>14.162599999999999</v>
      </c>
      <c r="D11" s="207">
        <v>4.5</v>
      </c>
      <c r="E11" s="253">
        <f t="shared" si="0"/>
        <v>18.662599999999998</v>
      </c>
      <c r="F11" s="253">
        <v>5.9165999999999999</v>
      </c>
      <c r="G11" s="253">
        <f t="shared" si="1"/>
        <v>24.579199999999997</v>
      </c>
      <c r="H11" s="253">
        <v>5.25</v>
      </c>
      <c r="I11" s="157">
        <f t="shared" si="2"/>
        <v>29.829199999999997</v>
      </c>
      <c r="J11" s="133">
        <v>8343.3240000000005</v>
      </c>
      <c r="K11" s="133">
        <f t="shared" si="3"/>
        <v>279.70324380137589</v>
      </c>
      <c r="L11" s="12">
        <v>51</v>
      </c>
    </row>
    <row r="12" spans="1:13" s="11" customFormat="1" ht="13.15" customHeight="1">
      <c r="A12" s="82" t="s">
        <v>17</v>
      </c>
      <c r="B12" s="82"/>
      <c r="C12" s="206">
        <v>6.0998999999999999</v>
      </c>
      <c r="D12" s="206">
        <v>1</v>
      </c>
      <c r="E12" s="254">
        <f t="shared" si="0"/>
        <v>7.0998999999999999</v>
      </c>
      <c r="F12" s="254"/>
      <c r="G12" s="254">
        <f t="shared" si="1"/>
        <v>7.0998999999999999</v>
      </c>
      <c r="H12" s="254">
        <v>0.5</v>
      </c>
      <c r="I12" s="156">
        <f t="shared" si="2"/>
        <v>7.5998999999999999</v>
      </c>
      <c r="J12" s="132">
        <v>2018.1505000000002</v>
      </c>
      <c r="K12" s="132">
        <f t="shared" si="3"/>
        <v>265.54961249490128</v>
      </c>
      <c r="L12" s="83">
        <v>13</v>
      </c>
    </row>
    <row r="13" spans="1:13" s="11" customFormat="1" ht="13.15" customHeight="1">
      <c r="A13" s="84" t="s">
        <v>18</v>
      </c>
      <c r="B13" s="84"/>
      <c r="C13" s="207">
        <f>0.5932+1.5085</f>
        <v>2.1017000000000001</v>
      </c>
      <c r="D13" s="207">
        <v>0.3</v>
      </c>
      <c r="E13" s="253">
        <f t="shared" si="0"/>
        <v>2.4016999999999999</v>
      </c>
      <c r="F13" s="253"/>
      <c r="G13" s="253">
        <f t="shared" si="1"/>
        <v>2.4016999999999999</v>
      </c>
      <c r="H13" s="253"/>
      <c r="I13" s="157">
        <f t="shared" si="2"/>
        <v>2.4016999999999999</v>
      </c>
      <c r="J13" s="133">
        <v>2125.6419000000005</v>
      </c>
      <c r="K13" s="133">
        <f t="shared" si="3"/>
        <v>885.05720947662098</v>
      </c>
      <c r="L13" s="12">
        <v>5</v>
      </c>
    </row>
    <row r="14" spans="1:13" s="11" customFormat="1" ht="13.15" customHeight="1">
      <c r="A14" s="82" t="s">
        <v>19</v>
      </c>
      <c r="B14" s="82"/>
      <c r="C14" s="206">
        <v>6.4086999999999996</v>
      </c>
      <c r="D14" s="206">
        <v>1.7545999999999999</v>
      </c>
      <c r="E14" s="254">
        <f t="shared" si="0"/>
        <v>8.1632999999999996</v>
      </c>
      <c r="F14" s="254">
        <v>4.6214000000000004</v>
      </c>
      <c r="G14" s="254">
        <f t="shared" si="1"/>
        <v>12.784700000000001</v>
      </c>
      <c r="H14" s="254">
        <v>9</v>
      </c>
      <c r="I14" s="156">
        <f>G14+H14</f>
        <v>21.784700000000001</v>
      </c>
      <c r="J14" s="132">
        <v>7917.0150000000003</v>
      </c>
      <c r="K14" s="132">
        <f t="shared" si="3"/>
        <v>363.42088713638469</v>
      </c>
      <c r="L14" s="83">
        <v>30</v>
      </c>
    </row>
    <row r="15" spans="1:13" s="11" customFormat="1" ht="13.15" customHeight="1">
      <c r="A15" s="84" t="s">
        <v>20</v>
      </c>
      <c r="B15" s="84"/>
      <c r="C15" s="207">
        <v>3.1747999999999998</v>
      </c>
      <c r="D15" s="207">
        <v>0.25</v>
      </c>
      <c r="E15" s="253">
        <f t="shared" si="0"/>
        <v>3.4247999999999998</v>
      </c>
      <c r="F15" s="253">
        <v>0.5</v>
      </c>
      <c r="G15" s="253">
        <f t="shared" si="1"/>
        <v>3.9247999999999998</v>
      </c>
      <c r="H15" s="253"/>
      <c r="I15" s="157">
        <f t="shared" si="2"/>
        <v>3.9247999999999998</v>
      </c>
      <c r="J15" s="133">
        <v>860.09199999999998</v>
      </c>
      <c r="K15" s="133">
        <f>J15/I15</f>
        <v>219.14288626172035</v>
      </c>
      <c r="L15" s="12">
        <v>10</v>
      </c>
    </row>
    <row r="16" spans="1:13" s="11" customFormat="1" ht="13.15" customHeight="1">
      <c r="A16" s="82" t="s">
        <v>21</v>
      </c>
      <c r="B16" s="82"/>
      <c r="C16" s="206">
        <f>0.2766+3.0714</f>
        <v>3.3480000000000003</v>
      </c>
      <c r="D16" s="206">
        <v>1.8030999999999999</v>
      </c>
      <c r="E16" s="254">
        <f t="shared" si="0"/>
        <v>5.1511000000000005</v>
      </c>
      <c r="F16" s="254">
        <v>5</v>
      </c>
      <c r="G16" s="254">
        <f t="shared" si="1"/>
        <v>10.1511</v>
      </c>
      <c r="H16" s="254"/>
      <c r="I16" s="156">
        <f t="shared" si="2"/>
        <v>10.1511</v>
      </c>
      <c r="J16" s="132">
        <v>3787.92</v>
      </c>
      <c r="K16" s="132">
        <f>J16/I16</f>
        <v>373.15364837308272</v>
      </c>
      <c r="L16" s="83">
        <v>21</v>
      </c>
    </row>
    <row r="17" spans="1:13" s="11" customFormat="1" ht="13.15" customHeight="1">
      <c r="A17" s="84" t="s">
        <v>22</v>
      </c>
      <c r="B17" s="84"/>
      <c r="C17" s="207">
        <f>5.2006</f>
        <v>5.2005999999999997</v>
      </c>
      <c r="D17" s="207">
        <v>0.63329999999999997</v>
      </c>
      <c r="E17" s="253">
        <f t="shared" si="0"/>
        <v>5.8338999999999999</v>
      </c>
      <c r="F17" s="253">
        <f>2+1</f>
        <v>3</v>
      </c>
      <c r="G17" s="253">
        <f t="shared" si="1"/>
        <v>8.8338999999999999</v>
      </c>
      <c r="H17" s="253">
        <v>3.375</v>
      </c>
      <c r="I17" s="157">
        <f t="shared" si="2"/>
        <v>12.2089</v>
      </c>
      <c r="J17" s="133">
        <v>3589.1461000000004</v>
      </c>
      <c r="K17" s="133">
        <f t="shared" si="3"/>
        <v>293.97784403181288</v>
      </c>
      <c r="L17" s="12">
        <v>15</v>
      </c>
    </row>
    <row r="18" spans="1:13" s="11" customFormat="1" ht="13.15" customHeight="1">
      <c r="A18" s="82" t="s">
        <v>23</v>
      </c>
      <c r="B18" s="82"/>
      <c r="C18" s="206">
        <v>6.2355</v>
      </c>
      <c r="D18" s="206">
        <v>1.3</v>
      </c>
      <c r="E18" s="254">
        <f t="shared" si="0"/>
        <v>7.5354999999999999</v>
      </c>
      <c r="F18" s="254">
        <v>3.25</v>
      </c>
      <c r="G18" s="254">
        <f t="shared" si="1"/>
        <v>10.785499999999999</v>
      </c>
      <c r="H18" s="254"/>
      <c r="I18" s="156">
        <f t="shared" si="2"/>
        <v>10.785499999999999</v>
      </c>
      <c r="J18" s="132">
        <v>1611.8821</v>
      </c>
      <c r="K18" s="132">
        <f t="shared" si="3"/>
        <v>149.44899170182191</v>
      </c>
      <c r="L18" s="83">
        <v>21</v>
      </c>
    </row>
    <row r="19" spans="1:13" s="11" customFormat="1" ht="13.15" customHeight="1">
      <c r="A19" s="84" t="s">
        <v>24</v>
      </c>
      <c r="B19" s="84"/>
      <c r="C19" s="207">
        <v>5.5906000000000002</v>
      </c>
      <c r="D19" s="207">
        <v>1.0985</v>
      </c>
      <c r="E19" s="253">
        <f t="shared" si="0"/>
        <v>6.6890999999999998</v>
      </c>
      <c r="F19" s="253">
        <v>6.8049999999999997</v>
      </c>
      <c r="G19" s="253">
        <f t="shared" si="1"/>
        <v>13.4941</v>
      </c>
      <c r="H19" s="253">
        <v>1.74</v>
      </c>
      <c r="I19" s="157">
        <f t="shared" si="2"/>
        <v>15.2341</v>
      </c>
      <c r="J19" s="133">
        <v>5654.5459999999994</v>
      </c>
      <c r="K19" s="133">
        <f t="shared" si="3"/>
        <v>371.17689919325721</v>
      </c>
      <c r="L19" s="12">
        <v>27</v>
      </c>
    </row>
    <row r="20" spans="1:13" s="11" customFormat="1" ht="13.15" customHeight="1">
      <c r="A20" s="82" t="s">
        <v>25</v>
      </c>
      <c r="B20" s="82"/>
      <c r="C20" s="206">
        <v>3.1347</v>
      </c>
      <c r="D20" s="206">
        <v>1.95</v>
      </c>
      <c r="E20" s="254">
        <f t="shared" si="0"/>
        <v>5.0846999999999998</v>
      </c>
      <c r="F20" s="254">
        <v>1.6667000000000001</v>
      </c>
      <c r="G20" s="254">
        <f t="shared" si="1"/>
        <v>6.7514000000000003</v>
      </c>
      <c r="H20" s="254">
        <v>0.68359999999999999</v>
      </c>
      <c r="I20" s="156">
        <f>G20+H20</f>
        <v>7.4350000000000005</v>
      </c>
      <c r="J20" s="132">
        <v>1562.2929999999999</v>
      </c>
      <c r="K20" s="132">
        <f t="shared" si="3"/>
        <v>210.12683254875586</v>
      </c>
      <c r="L20" s="83">
        <v>18</v>
      </c>
    </row>
    <row r="21" spans="1:13" s="11" customFormat="1" ht="13.15" customHeight="1">
      <c r="A21" s="84" t="s">
        <v>26</v>
      </c>
      <c r="B21" s="84"/>
      <c r="C21" s="207">
        <v>1.2029000000000001</v>
      </c>
      <c r="D21" s="207"/>
      <c r="E21" s="253">
        <f t="shared" si="0"/>
        <v>1.2029000000000001</v>
      </c>
      <c r="F21" s="253"/>
      <c r="G21" s="253">
        <f t="shared" si="1"/>
        <v>1.2029000000000001</v>
      </c>
      <c r="H21" s="253">
        <v>0.5</v>
      </c>
      <c r="I21" s="157">
        <f t="shared" si="2"/>
        <v>1.7029000000000001</v>
      </c>
      <c r="J21" s="133">
        <v>1693.2574999999999</v>
      </c>
      <c r="K21" s="133">
        <f>J21/I21</f>
        <v>994.3376005637441</v>
      </c>
      <c r="L21" s="12">
        <v>6</v>
      </c>
    </row>
    <row r="22" spans="1:13" s="11" customFormat="1" ht="13.15" customHeight="1">
      <c r="A22" s="85" t="s">
        <v>27</v>
      </c>
      <c r="B22" s="85"/>
      <c r="C22" s="208">
        <v>0.1</v>
      </c>
      <c r="D22" s="208"/>
      <c r="E22" s="255">
        <f t="shared" si="0"/>
        <v>0.1</v>
      </c>
      <c r="F22" s="255"/>
      <c r="G22" s="255">
        <f>E22+F22</f>
        <v>0.1</v>
      </c>
      <c r="H22" s="255">
        <v>1.25</v>
      </c>
      <c r="I22" s="158">
        <f>E22+H22+F22</f>
        <v>1.35</v>
      </c>
      <c r="J22" s="134">
        <v>1424.3407999999999</v>
      </c>
      <c r="K22" s="134"/>
      <c r="L22" s="86"/>
    </row>
    <row r="23" spans="1:13" s="17" customFormat="1" ht="15" customHeight="1">
      <c r="A23" s="15" t="s">
        <v>94</v>
      </c>
      <c r="B23" s="15"/>
      <c r="C23" s="209">
        <f>SUM(C8:C22)</f>
        <v>79.699499999999986</v>
      </c>
      <c r="D23" s="209">
        <f>SUM(D8:D22)</f>
        <v>18.839500000000001</v>
      </c>
      <c r="E23" s="262">
        <f>SUM(E8:E22)</f>
        <v>98.538999999999987</v>
      </c>
      <c r="F23" s="262">
        <f>SUM(F8:F22)</f>
        <v>45.195700000000002</v>
      </c>
      <c r="G23" s="262">
        <f>SUM(G8:G22)</f>
        <v>143.7347</v>
      </c>
      <c r="H23" s="266">
        <f>SUM(H8:H16,H17:H22)</f>
        <v>24.798599999999997</v>
      </c>
      <c r="I23" s="292">
        <f>SUM(I8:I22)</f>
        <v>168.53330000000003</v>
      </c>
      <c r="J23" s="135">
        <f>SUM(J8:J22)</f>
        <v>54537.35409999999</v>
      </c>
      <c r="K23" s="139">
        <f>(J23-J22)/(I23-I22)</f>
        <v>317.69329412686545</v>
      </c>
      <c r="L23" s="16">
        <f>SUM(L8:L22)</f>
        <v>310</v>
      </c>
      <c r="M23" s="226"/>
    </row>
    <row r="24" spans="1:13" s="19" customFormat="1" ht="11.25" customHeight="1">
      <c r="A24" s="18"/>
      <c r="B24" s="18"/>
      <c r="C24" s="18"/>
      <c r="D24" s="18"/>
      <c r="E24" s="159"/>
      <c r="F24" s="159"/>
      <c r="G24" s="159"/>
      <c r="H24" s="159"/>
      <c r="I24" s="159"/>
      <c r="J24" s="136"/>
      <c r="K24" s="193"/>
      <c r="L24" s="62"/>
    </row>
    <row r="25" spans="1:13" s="11" customFormat="1" ht="13.5" customHeight="1">
      <c r="A25" s="20" t="s">
        <v>28</v>
      </c>
      <c r="B25" s="20"/>
      <c r="C25" s="296"/>
      <c r="D25" s="20"/>
      <c r="E25" s="157"/>
      <c r="F25" s="157"/>
      <c r="G25" s="157"/>
      <c r="H25" s="157"/>
      <c r="I25" s="157"/>
      <c r="J25" s="133"/>
      <c r="K25" s="133"/>
      <c r="L25" s="63"/>
    </row>
    <row r="26" spans="1:13" s="81" customFormat="1" ht="13.15" customHeight="1">
      <c r="A26" s="82" t="s">
        <v>29</v>
      </c>
      <c r="B26" s="82"/>
      <c r="C26" s="201">
        <v>8.2934000000000001</v>
      </c>
      <c r="D26" s="201">
        <v>4</v>
      </c>
      <c r="E26" s="254">
        <f t="shared" ref="E26:E31" si="4">C26+D26</f>
        <v>12.2934</v>
      </c>
      <c r="F26" s="254">
        <v>7.3042999999999996</v>
      </c>
      <c r="G26" s="254">
        <f t="shared" ref="G26:G31" si="5">E26+F26</f>
        <v>19.5977</v>
      </c>
      <c r="H26" s="264">
        <v>0</v>
      </c>
      <c r="I26" s="156">
        <f t="shared" ref="I26:I32" si="6">G26+H26</f>
        <v>19.5977</v>
      </c>
      <c r="J26" s="132">
        <v>9614</v>
      </c>
      <c r="K26" s="132">
        <f t="shared" ref="K26:K31" si="7">J26/(G26+H26)</f>
        <v>490.56777070778713</v>
      </c>
      <c r="L26" s="83">
        <v>22</v>
      </c>
    </row>
    <row r="27" spans="1:13" s="81" customFormat="1" ht="13.15" customHeight="1">
      <c r="A27" s="84" t="s">
        <v>30</v>
      </c>
      <c r="B27" s="84"/>
      <c r="C27" s="202">
        <v>12.0989</v>
      </c>
      <c r="D27" s="202">
        <v>3</v>
      </c>
      <c r="E27" s="253">
        <f t="shared" si="4"/>
        <v>15.0989</v>
      </c>
      <c r="F27" s="253">
        <v>5.75</v>
      </c>
      <c r="G27" s="253">
        <f t="shared" si="5"/>
        <v>20.8489</v>
      </c>
      <c r="H27" s="265">
        <v>0</v>
      </c>
      <c r="I27" s="157">
        <f t="shared" si="6"/>
        <v>20.8489</v>
      </c>
      <c r="J27" s="133">
        <v>5398</v>
      </c>
      <c r="K27" s="133">
        <f t="shared" si="7"/>
        <v>258.91054204298547</v>
      </c>
      <c r="L27" s="12">
        <v>24</v>
      </c>
    </row>
    <row r="28" spans="1:13" s="125" customFormat="1" ht="13.15" customHeight="1">
      <c r="A28" s="82" t="s">
        <v>116</v>
      </c>
      <c r="B28" s="82"/>
      <c r="C28" s="201">
        <v>8.5860000000000003</v>
      </c>
      <c r="D28" s="201">
        <v>5</v>
      </c>
      <c r="E28" s="254">
        <f t="shared" ref="E28" si="8">C28+D28</f>
        <v>13.586</v>
      </c>
      <c r="F28" s="254">
        <v>6.75</v>
      </c>
      <c r="G28" s="254">
        <f t="shared" si="5"/>
        <v>20.335999999999999</v>
      </c>
      <c r="H28" s="264">
        <v>0</v>
      </c>
      <c r="I28" s="156">
        <f t="shared" ref="I28" si="9">G28+H28</f>
        <v>20.335999999999999</v>
      </c>
      <c r="J28" s="132">
        <v>4711</v>
      </c>
      <c r="K28" s="132">
        <f t="shared" si="7"/>
        <v>231.6581431943352</v>
      </c>
      <c r="L28" s="83">
        <v>22</v>
      </c>
    </row>
    <row r="29" spans="1:13" s="125" customFormat="1" ht="13.15" customHeight="1">
      <c r="A29" s="84" t="s">
        <v>31</v>
      </c>
      <c r="B29" s="84"/>
      <c r="C29" s="202">
        <v>8.6478999999999999</v>
      </c>
      <c r="D29" s="202">
        <v>9</v>
      </c>
      <c r="E29" s="253">
        <f t="shared" si="4"/>
        <v>17.6479</v>
      </c>
      <c r="F29" s="253">
        <v>9.7925000000000004</v>
      </c>
      <c r="G29" s="253">
        <f t="shared" si="5"/>
        <v>27.4404</v>
      </c>
      <c r="H29" s="265">
        <v>0</v>
      </c>
      <c r="I29" s="157">
        <f t="shared" si="6"/>
        <v>27.4404</v>
      </c>
      <c r="J29" s="133">
        <v>8179</v>
      </c>
      <c r="K29" s="133">
        <f t="shared" si="7"/>
        <v>298.06416816081401</v>
      </c>
      <c r="L29" s="12">
        <v>32</v>
      </c>
    </row>
    <row r="30" spans="1:13" s="125" customFormat="1" ht="13.15" customHeight="1">
      <c r="A30" s="82" t="s">
        <v>32</v>
      </c>
      <c r="B30" s="82"/>
      <c r="C30" s="201">
        <v>11.0524</v>
      </c>
      <c r="D30" s="201">
        <v>4</v>
      </c>
      <c r="E30" s="254">
        <f t="shared" si="4"/>
        <v>15.0524</v>
      </c>
      <c r="F30" s="254">
        <v>3.75</v>
      </c>
      <c r="G30" s="254">
        <f t="shared" si="5"/>
        <v>18.802399999999999</v>
      </c>
      <c r="H30" s="264">
        <v>0</v>
      </c>
      <c r="I30" s="156">
        <f t="shared" si="6"/>
        <v>18.802399999999999</v>
      </c>
      <c r="J30" s="132">
        <v>5706</v>
      </c>
      <c r="K30" s="132">
        <f t="shared" si="7"/>
        <v>303.47189720461222</v>
      </c>
      <c r="L30" s="83">
        <v>21</v>
      </c>
    </row>
    <row r="31" spans="1:13" s="125" customFormat="1" ht="13.15" customHeight="1">
      <c r="A31" s="84" t="s">
        <v>117</v>
      </c>
      <c r="B31" s="84"/>
      <c r="C31" s="202">
        <v>10.5214</v>
      </c>
      <c r="D31" s="202">
        <v>5</v>
      </c>
      <c r="E31" s="253">
        <f t="shared" si="4"/>
        <v>15.5214</v>
      </c>
      <c r="F31" s="253">
        <v>2.25</v>
      </c>
      <c r="G31" s="253">
        <f t="shared" si="5"/>
        <v>17.7714</v>
      </c>
      <c r="H31" s="265">
        <v>0</v>
      </c>
      <c r="I31" s="157">
        <f t="shared" si="6"/>
        <v>17.7714</v>
      </c>
      <c r="J31" s="133">
        <v>3920.62</v>
      </c>
      <c r="K31" s="133">
        <f t="shared" si="7"/>
        <v>220.61402027977536</v>
      </c>
      <c r="L31" s="12">
        <v>19</v>
      </c>
    </row>
    <row r="32" spans="1:13" s="125" customFormat="1" ht="13.15" customHeight="1">
      <c r="A32" s="85" t="s">
        <v>33</v>
      </c>
      <c r="B32" s="85"/>
      <c r="C32" s="210"/>
      <c r="D32" s="210"/>
      <c r="E32" s="255"/>
      <c r="F32" s="255"/>
      <c r="G32" s="255"/>
      <c r="H32" s="255">
        <f>0.5+21</f>
        <v>21.5</v>
      </c>
      <c r="I32" s="158">
        <f t="shared" si="6"/>
        <v>21.5</v>
      </c>
      <c r="J32" s="134">
        <v>3573</v>
      </c>
      <c r="K32" s="134"/>
      <c r="L32" s="86"/>
    </row>
    <row r="33" spans="1:13" s="17" customFormat="1" ht="15" customHeight="1">
      <c r="A33" s="20" t="s">
        <v>95</v>
      </c>
      <c r="B33" s="20"/>
      <c r="C33" s="205">
        <f>SUM(C26:C32)</f>
        <v>59.199999999999996</v>
      </c>
      <c r="D33" s="205">
        <f>SUM(D26:D32)</f>
        <v>30</v>
      </c>
      <c r="E33" s="256">
        <f>SUM(E26:E32)</f>
        <v>89.2</v>
      </c>
      <c r="F33" s="256">
        <f t="shared" ref="F33:J33" si="10">SUM(F26:F32)</f>
        <v>35.596800000000002</v>
      </c>
      <c r="G33" s="256">
        <f t="shared" si="10"/>
        <v>124.79679999999999</v>
      </c>
      <c r="H33" s="257">
        <f t="shared" si="10"/>
        <v>21.5</v>
      </c>
      <c r="I33" s="160">
        <f t="shared" si="10"/>
        <v>146.29679999999999</v>
      </c>
      <c r="J33" s="138">
        <f t="shared" si="10"/>
        <v>41101.620000000003</v>
      </c>
      <c r="K33" s="138">
        <f>((J33-J32)/(I33-I32))</f>
        <v>300.71780686684281</v>
      </c>
      <c r="L33" s="21">
        <f>SUM(L26:L32)</f>
        <v>140</v>
      </c>
      <c r="M33" s="225">
        <f>I33-I32</f>
        <v>124.79679999999999</v>
      </c>
    </row>
    <row r="34" spans="1:13" s="17" customFormat="1" ht="11.25" customHeight="1">
      <c r="A34" s="20"/>
      <c r="B34" s="20"/>
      <c r="C34" s="20"/>
      <c r="D34" s="20"/>
      <c r="E34" s="160"/>
      <c r="F34" s="160"/>
      <c r="G34" s="160"/>
      <c r="H34" s="161"/>
      <c r="I34" s="160"/>
      <c r="J34" s="138"/>
      <c r="K34" s="138"/>
      <c r="L34" s="64"/>
    </row>
    <row r="35" spans="1:13" s="11" customFormat="1" ht="11.5">
      <c r="A35" s="20" t="s">
        <v>34</v>
      </c>
      <c r="B35" s="20"/>
      <c r="C35" s="20"/>
      <c r="D35" s="20"/>
      <c r="E35" s="157"/>
      <c r="F35" s="157"/>
      <c r="G35" s="157"/>
      <c r="H35" s="157"/>
      <c r="I35" s="157"/>
      <c r="J35" s="133"/>
      <c r="K35" s="133"/>
      <c r="L35" s="65"/>
    </row>
    <row r="36" spans="1:13" s="81" customFormat="1" ht="13.15" customHeight="1">
      <c r="A36" s="82" t="s">
        <v>35</v>
      </c>
      <c r="B36" s="82"/>
      <c r="C36" s="201">
        <v>16.5</v>
      </c>
      <c r="D36" s="201">
        <v>5</v>
      </c>
      <c r="E36" s="254">
        <f t="shared" ref="E36:E42" si="11">C36+D36</f>
        <v>21.5</v>
      </c>
      <c r="F36" s="254">
        <v>10.6816</v>
      </c>
      <c r="G36" s="254">
        <f t="shared" ref="G36:G43" si="12">E36+F36</f>
        <v>32.181600000000003</v>
      </c>
      <c r="H36" s="254">
        <v>5</v>
      </c>
      <c r="I36" s="156">
        <f>G36+H36</f>
        <v>37.181600000000003</v>
      </c>
      <c r="J36" s="132">
        <v>5778</v>
      </c>
      <c r="K36" s="132">
        <f t="shared" ref="K36:K42" si="13">J36/(G36+H36)</f>
        <v>155.39944488671816</v>
      </c>
      <c r="L36" s="83">
        <v>39</v>
      </c>
    </row>
    <row r="37" spans="1:13" s="94" customFormat="1" ht="13.15" customHeight="1">
      <c r="A37" s="84" t="s">
        <v>93</v>
      </c>
      <c r="B37" s="84"/>
      <c r="C37" s="202">
        <v>14</v>
      </c>
      <c r="D37" s="202">
        <v>5.5</v>
      </c>
      <c r="E37" s="253">
        <f t="shared" si="11"/>
        <v>19.5</v>
      </c>
      <c r="F37" s="253">
        <v>10</v>
      </c>
      <c r="G37" s="253">
        <f>E37+F37</f>
        <v>29.5</v>
      </c>
      <c r="H37" s="253">
        <v>3.25</v>
      </c>
      <c r="I37" s="157">
        <f>G37+H37</f>
        <v>32.75</v>
      </c>
      <c r="J37" s="133">
        <v>3412.24</v>
      </c>
      <c r="K37" s="133">
        <f>J37/(G37+H37)</f>
        <v>104.19053435114503</v>
      </c>
      <c r="L37" s="12">
        <v>33</v>
      </c>
    </row>
    <row r="38" spans="1:13" s="94" customFormat="1" ht="13.15" customHeight="1">
      <c r="A38" s="82" t="s">
        <v>36</v>
      </c>
      <c r="B38" s="82"/>
      <c r="C38" s="201">
        <v>5.8276000000000003</v>
      </c>
      <c r="D38" s="201">
        <v>2.7812999999999999</v>
      </c>
      <c r="E38" s="254">
        <f t="shared" si="11"/>
        <v>8.6089000000000002</v>
      </c>
      <c r="F38" s="254">
        <v>2.2000000000000002</v>
      </c>
      <c r="G38" s="254">
        <f t="shared" si="12"/>
        <v>10.808900000000001</v>
      </c>
      <c r="H38" s="254">
        <v>4</v>
      </c>
      <c r="I38" s="156">
        <f>G38+H38</f>
        <v>14.808900000000001</v>
      </c>
      <c r="J38" s="132">
        <v>1811</v>
      </c>
      <c r="K38" s="132">
        <f t="shared" si="13"/>
        <v>122.29132481143095</v>
      </c>
      <c r="L38" s="83">
        <v>17</v>
      </c>
    </row>
    <row r="39" spans="1:13" s="94" customFormat="1" ht="13.15" customHeight="1">
      <c r="A39" s="84" t="s">
        <v>90</v>
      </c>
      <c r="B39" s="84"/>
      <c r="C39" s="202">
        <v>8.9553999999999991</v>
      </c>
      <c r="D39" s="202">
        <v>1</v>
      </c>
      <c r="E39" s="253">
        <f t="shared" si="11"/>
        <v>9.9553999999999991</v>
      </c>
      <c r="F39" s="253">
        <v>3.7</v>
      </c>
      <c r="G39" s="253">
        <f t="shared" si="12"/>
        <v>13.6554</v>
      </c>
      <c r="H39" s="253">
        <v>2.125</v>
      </c>
      <c r="I39" s="157">
        <f t="shared" ref="I39:I41" si="14">G39+H39</f>
        <v>15.7804</v>
      </c>
      <c r="J39" s="133">
        <v>1937</v>
      </c>
      <c r="K39" s="133">
        <f t="shared" si="13"/>
        <v>122.7472053940331</v>
      </c>
      <c r="L39" s="12">
        <v>14</v>
      </c>
    </row>
    <row r="40" spans="1:13" s="94" customFormat="1" ht="13.15" customHeight="1">
      <c r="A40" s="82" t="s">
        <v>91</v>
      </c>
      <c r="B40" s="82"/>
      <c r="C40" s="201">
        <v>4</v>
      </c>
      <c r="D40" s="201">
        <v>2</v>
      </c>
      <c r="E40" s="254">
        <f t="shared" si="11"/>
        <v>6</v>
      </c>
      <c r="F40" s="254">
        <v>7.4</v>
      </c>
      <c r="G40" s="254">
        <f t="shared" si="12"/>
        <v>13.4</v>
      </c>
      <c r="H40" s="254">
        <v>1</v>
      </c>
      <c r="I40" s="156">
        <f t="shared" si="14"/>
        <v>14.4</v>
      </c>
      <c r="J40" s="132">
        <v>2463</v>
      </c>
      <c r="K40" s="132">
        <f t="shared" si="13"/>
        <v>171.04166666666666</v>
      </c>
      <c r="L40" s="83">
        <v>16</v>
      </c>
    </row>
    <row r="41" spans="1:13" s="81" customFormat="1" ht="13.15" customHeight="1">
      <c r="A41" s="84" t="s">
        <v>92</v>
      </c>
      <c r="B41" s="84"/>
      <c r="C41" s="202">
        <v>2</v>
      </c>
      <c r="D41" s="202">
        <v>5</v>
      </c>
      <c r="E41" s="253">
        <f t="shared" si="11"/>
        <v>7</v>
      </c>
      <c r="F41" s="253">
        <v>2.5</v>
      </c>
      <c r="G41" s="253">
        <f t="shared" si="12"/>
        <v>9.5</v>
      </c>
      <c r="H41" s="253">
        <v>2.25</v>
      </c>
      <c r="I41" s="157">
        <f t="shared" si="14"/>
        <v>11.75</v>
      </c>
      <c r="J41" s="133">
        <v>2089</v>
      </c>
      <c r="K41" s="133">
        <f t="shared" si="13"/>
        <v>177.78723404255319</v>
      </c>
      <c r="L41" s="12">
        <v>10</v>
      </c>
    </row>
    <row r="42" spans="1:13" s="81" customFormat="1" ht="13.15" customHeight="1">
      <c r="A42" s="82" t="s">
        <v>37</v>
      </c>
      <c r="B42" s="82"/>
      <c r="C42" s="201">
        <v>8</v>
      </c>
      <c r="D42" s="201">
        <v>4</v>
      </c>
      <c r="E42" s="254">
        <f t="shared" si="11"/>
        <v>12</v>
      </c>
      <c r="F42" s="254">
        <v>2.9</v>
      </c>
      <c r="G42" s="254">
        <f>E42+F42</f>
        <v>14.9</v>
      </c>
      <c r="H42" s="254">
        <v>0.25</v>
      </c>
      <c r="I42" s="156">
        <f>G42+H42</f>
        <v>15.15</v>
      </c>
      <c r="J42" s="132">
        <v>1406</v>
      </c>
      <c r="K42" s="132">
        <f t="shared" si="13"/>
        <v>92.805280528052805</v>
      </c>
      <c r="L42" s="83">
        <v>17</v>
      </c>
    </row>
    <row r="43" spans="1:13" s="81" customFormat="1" ht="13.15" customHeight="1">
      <c r="A43" s="87" t="s">
        <v>109</v>
      </c>
      <c r="B43" s="87"/>
      <c r="C43" s="203"/>
      <c r="D43" s="203"/>
      <c r="E43" s="89"/>
      <c r="F43" s="89"/>
      <c r="G43" s="260">
        <f t="shared" si="12"/>
        <v>0</v>
      </c>
      <c r="H43" s="89">
        <v>1.125</v>
      </c>
      <c r="I43" s="162">
        <f>G43+H43</f>
        <v>1.125</v>
      </c>
      <c r="J43" s="90">
        <v>3671.5</v>
      </c>
      <c r="K43" s="194">
        <f>J43/(G43+H43)</f>
        <v>3263.5555555555557</v>
      </c>
      <c r="L43" s="91"/>
    </row>
    <row r="44" spans="1:13" s="22" customFormat="1" ht="15" customHeight="1">
      <c r="A44" s="95" t="s">
        <v>96</v>
      </c>
      <c r="B44" s="95"/>
      <c r="C44" s="204">
        <f>SUM(C36:C43)</f>
        <v>59.283000000000001</v>
      </c>
      <c r="D44" s="204">
        <f>SUM(D36:D43)</f>
        <v>25.281300000000002</v>
      </c>
      <c r="E44" s="261">
        <f>SUM(E36:E43)</f>
        <v>84.564300000000003</v>
      </c>
      <c r="F44" s="261">
        <f>SUM(F36:F43)</f>
        <v>39.381599999999999</v>
      </c>
      <c r="G44" s="262">
        <f>E44+F44</f>
        <v>123.94589999999999</v>
      </c>
      <c r="H44" s="263">
        <f>SUM(H36:H43)</f>
        <v>19</v>
      </c>
      <c r="I44" s="293">
        <f>SUM(I36:I43)</f>
        <v>142.94589999999999</v>
      </c>
      <c r="J44" s="139">
        <f>SUM(J36:J43)</f>
        <v>22567.739999999998</v>
      </c>
      <c r="K44" s="139">
        <f>(J44-J43)/(I44-I43)</f>
        <v>133.24016417890451</v>
      </c>
      <c r="L44" s="16">
        <f>SUM(L35:L43)</f>
        <v>146</v>
      </c>
      <c r="M44" s="227">
        <f>I44-I43</f>
        <v>141.82089999999999</v>
      </c>
    </row>
    <row r="45" spans="1:13" s="22" customFormat="1" ht="11.25" customHeight="1">
      <c r="A45" s="23"/>
      <c r="B45" s="23"/>
      <c r="C45" s="23"/>
      <c r="D45" s="23"/>
      <c r="E45" s="160"/>
      <c r="F45" s="160"/>
      <c r="G45" s="160"/>
      <c r="H45" s="161"/>
      <c r="I45" s="160"/>
      <c r="J45" s="138"/>
      <c r="K45" s="138"/>
      <c r="L45" s="64"/>
    </row>
    <row r="46" spans="1:13" s="11" customFormat="1" ht="11.5">
      <c r="A46" s="20" t="s">
        <v>38</v>
      </c>
      <c r="B46" s="20"/>
      <c r="C46" s="20"/>
      <c r="D46" s="20"/>
      <c r="E46" s="157"/>
      <c r="F46" s="157"/>
      <c r="G46" s="157"/>
      <c r="H46" s="157"/>
      <c r="I46" s="157"/>
      <c r="J46" s="133"/>
      <c r="K46" s="133"/>
      <c r="L46" s="63"/>
    </row>
    <row r="47" spans="1:13" s="81" customFormat="1" ht="13.15" customHeight="1">
      <c r="A47" s="82" t="s">
        <v>39</v>
      </c>
      <c r="B47" s="82"/>
      <c r="C47" s="201">
        <v>15.613899999999999</v>
      </c>
      <c r="D47" s="201">
        <v>8</v>
      </c>
      <c r="E47" s="254">
        <f t="shared" ref="E47:E54" si="15">C47+D47</f>
        <v>23.613900000000001</v>
      </c>
      <c r="F47" s="254">
        <v>10.0625</v>
      </c>
      <c r="G47" s="254">
        <f t="shared" ref="G47:G54" si="16">E47+F47</f>
        <v>33.676400000000001</v>
      </c>
      <c r="H47" s="254">
        <v>7.2270000000000003</v>
      </c>
      <c r="I47" s="156">
        <f t="shared" ref="I47:I54" si="17">G47+H47</f>
        <v>40.903400000000005</v>
      </c>
      <c r="J47" s="132">
        <v>10545.4576</v>
      </c>
      <c r="K47" s="132">
        <f t="shared" ref="K47:K54" si="18">J47/(G47+H47)</f>
        <v>257.81371719710336</v>
      </c>
      <c r="L47" s="83">
        <v>37</v>
      </c>
    </row>
    <row r="48" spans="1:13" s="81" customFormat="1" ht="13.15" customHeight="1">
      <c r="A48" s="84" t="s">
        <v>13</v>
      </c>
      <c r="B48" s="84"/>
      <c r="C48" s="202">
        <v>2</v>
      </c>
      <c r="D48" s="202">
        <v>2</v>
      </c>
      <c r="E48" s="253">
        <f t="shared" si="15"/>
        <v>4</v>
      </c>
      <c r="F48" s="253">
        <v>4.7</v>
      </c>
      <c r="G48" s="253">
        <f t="shared" si="16"/>
        <v>8.6999999999999993</v>
      </c>
      <c r="H48" s="253">
        <v>0.2581</v>
      </c>
      <c r="I48" s="157">
        <f t="shared" si="17"/>
        <v>8.9581</v>
      </c>
      <c r="J48" s="133">
        <v>2558.6587999999997</v>
      </c>
      <c r="K48" s="133">
        <f t="shared" si="18"/>
        <v>285.62516605083664</v>
      </c>
      <c r="L48" s="12">
        <v>11</v>
      </c>
    </row>
    <row r="49" spans="1:13" s="81" customFormat="1" ht="13.15" customHeight="1">
      <c r="A49" s="82" t="s">
        <v>40</v>
      </c>
      <c r="B49" s="82"/>
      <c r="C49" s="201">
        <v>15.443899999999999</v>
      </c>
      <c r="D49" s="201">
        <v>4</v>
      </c>
      <c r="E49" s="254">
        <f t="shared" si="15"/>
        <v>19.443899999999999</v>
      </c>
      <c r="F49" s="254">
        <v>5.0999999999999996</v>
      </c>
      <c r="G49" s="254">
        <f t="shared" si="16"/>
        <v>24.543900000000001</v>
      </c>
      <c r="H49" s="254">
        <v>0.25</v>
      </c>
      <c r="I49" s="156">
        <f t="shared" si="17"/>
        <v>24.793900000000001</v>
      </c>
      <c r="J49" s="132">
        <v>4874.4799999999996</v>
      </c>
      <c r="K49" s="132">
        <f t="shared" si="18"/>
        <v>196.59997015394913</v>
      </c>
      <c r="L49" s="83">
        <v>29</v>
      </c>
    </row>
    <row r="50" spans="1:13" s="81" customFormat="1" ht="13.15" customHeight="1">
      <c r="A50" s="84" t="s">
        <v>41</v>
      </c>
      <c r="B50" s="84"/>
      <c r="C50" s="202">
        <v>17.4542</v>
      </c>
      <c r="D50" s="202">
        <v>10.030099999999999</v>
      </c>
      <c r="E50" s="253">
        <f t="shared" si="15"/>
        <v>27.484299999999998</v>
      </c>
      <c r="F50" s="253">
        <v>9.3783999999999992</v>
      </c>
      <c r="G50" s="253">
        <f t="shared" si="16"/>
        <v>36.862699999999997</v>
      </c>
      <c r="H50" s="253">
        <v>6</v>
      </c>
      <c r="I50" s="157">
        <f t="shared" si="17"/>
        <v>42.862699999999997</v>
      </c>
      <c r="J50" s="133">
        <v>7377.1589000000004</v>
      </c>
      <c r="K50" s="133">
        <f t="shared" si="18"/>
        <v>172.11139055635789</v>
      </c>
      <c r="L50" s="12">
        <v>46</v>
      </c>
    </row>
    <row r="51" spans="1:13" s="81" customFormat="1" ht="13.15" customHeight="1">
      <c r="A51" s="82" t="s">
        <v>42</v>
      </c>
      <c r="B51" s="82"/>
      <c r="C51" s="201">
        <v>37.883899999999997</v>
      </c>
      <c r="D51" s="201">
        <v>5.5160999999999998</v>
      </c>
      <c r="E51" s="254">
        <f t="shared" si="15"/>
        <v>43.4</v>
      </c>
      <c r="F51" s="254">
        <v>7.4249999999999998</v>
      </c>
      <c r="G51" s="254">
        <f t="shared" si="16"/>
        <v>50.824999999999996</v>
      </c>
      <c r="H51" s="254">
        <v>22.875</v>
      </c>
      <c r="I51" s="156">
        <f t="shared" si="17"/>
        <v>73.699999999999989</v>
      </c>
      <c r="J51" s="132">
        <v>15263.0748</v>
      </c>
      <c r="K51" s="132">
        <f t="shared" si="18"/>
        <v>207.09735142469475</v>
      </c>
      <c r="L51" s="83">
        <v>57</v>
      </c>
    </row>
    <row r="52" spans="1:13" s="81" customFormat="1" ht="13.15" customHeight="1">
      <c r="A52" s="84" t="s">
        <v>43</v>
      </c>
      <c r="B52" s="84"/>
      <c r="C52" s="202">
        <v>12.9999</v>
      </c>
      <c r="D52" s="202">
        <v>4</v>
      </c>
      <c r="E52" s="253">
        <f t="shared" si="15"/>
        <v>16.9999</v>
      </c>
      <c r="F52" s="253">
        <v>2.5484</v>
      </c>
      <c r="G52" s="253">
        <f t="shared" si="16"/>
        <v>19.548300000000001</v>
      </c>
      <c r="H52" s="253">
        <v>6</v>
      </c>
      <c r="I52" s="157">
        <f t="shared" si="17"/>
        <v>25.548300000000001</v>
      </c>
      <c r="J52" s="133">
        <v>4809.6000000000004</v>
      </c>
      <c r="K52" s="133">
        <f t="shared" si="18"/>
        <v>188.25518723359284</v>
      </c>
      <c r="L52" s="12">
        <v>21</v>
      </c>
    </row>
    <row r="53" spans="1:13" s="81" customFormat="1" ht="13.15" customHeight="1">
      <c r="A53" s="82" t="s">
        <v>44</v>
      </c>
      <c r="B53" s="82"/>
      <c r="C53" s="201">
        <v>11.3635</v>
      </c>
      <c r="D53" s="201">
        <v>4.4717000000000002</v>
      </c>
      <c r="E53" s="254">
        <f t="shared" si="15"/>
        <v>15.8352</v>
      </c>
      <c r="F53" s="254">
        <v>3.5</v>
      </c>
      <c r="G53" s="254">
        <f t="shared" si="16"/>
        <v>19.3352</v>
      </c>
      <c r="H53" s="254"/>
      <c r="I53" s="156">
        <f t="shared" si="17"/>
        <v>19.3352</v>
      </c>
      <c r="J53" s="132">
        <v>4381.7999999999993</v>
      </c>
      <c r="K53" s="132">
        <f t="shared" si="18"/>
        <v>226.62294674996892</v>
      </c>
      <c r="L53" s="83">
        <v>24</v>
      </c>
    </row>
    <row r="54" spans="1:13" s="81" customFormat="1" ht="13.15" customHeight="1">
      <c r="A54" s="84" t="s">
        <v>45</v>
      </c>
      <c r="B54" s="84"/>
      <c r="C54" s="202">
        <v>27.605</v>
      </c>
      <c r="D54" s="202">
        <v>10.8125</v>
      </c>
      <c r="E54" s="253">
        <f t="shared" si="15"/>
        <v>38.417500000000004</v>
      </c>
      <c r="F54" s="253">
        <v>14.6668</v>
      </c>
      <c r="G54" s="253">
        <f t="shared" si="16"/>
        <v>53.084300000000006</v>
      </c>
      <c r="H54" s="253">
        <v>20.75</v>
      </c>
      <c r="I54" s="157">
        <f t="shared" si="17"/>
        <v>73.834300000000013</v>
      </c>
      <c r="J54" s="133">
        <v>14429.1191</v>
      </c>
      <c r="K54" s="133">
        <f t="shared" si="18"/>
        <v>195.42569104061388</v>
      </c>
      <c r="L54" s="12">
        <v>56</v>
      </c>
    </row>
    <row r="55" spans="1:13" s="122" customFormat="1" ht="13.15" customHeight="1">
      <c r="A55" s="85" t="s">
        <v>46</v>
      </c>
      <c r="B55" s="85"/>
      <c r="C55" s="210"/>
      <c r="D55" s="210"/>
      <c r="E55" s="255"/>
      <c r="F55" s="255"/>
      <c r="G55" s="255"/>
      <c r="H55" s="255">
        <f>2.25+1.25</f>
        <v>3.5</v>
      </c>
      <c r="I55" s="158">
        <f>G55+H55</f>
        <v>3.5</v>
      </c>
      <c r="J55" s="134">
        <v>837.2453999999999</v>
      </c>
      <c r="K55" s="134"/>
      <c r="L55" s="86"/>
    </row>
    <row r="56" spans="1:13" s="22" customFormat="1" ht="15" customHeight="1">
      <c r="A56" s="23" t="s">
        <v>97</v>
      </c>
      <c r="B56" s="23"/>
      <c r="C56" s="205">
        <f>SUM(C47:C55)</f>
        <v>140.36429999999999</v>
      </c>
      <c r="D56" s="205">
        <f>SUM(D47:D55)</f>
        <v>48.830399999999997</v>
      </c>
      <c r="E56" s="256">
        <f>SUM(E47:E55)</f>
        <v>189.19470000000001</v>
      </c>
      <c r="F56" s="256">
        <f>SUM(F47:F55)</f>
        <v>57.381099999999996</v>
      </c>
      <c r="G56" s="256">
        <f>E56+F56</f>
        <v>246.57580000000002</v>
      </c>
      <c r="H56" s="257">
        <f>SUM(H47:H55)</f>
        <v>66.860100000000003</v>
      </c>
      <c r="I56" s="160">
        <f>SUM(I47:I55)</f>
        <v>313.43590000000006</v>
      </c>
      <c r="J56" s="138">
        <f>SUM(J47:J55)</f>
        <v>65076.594599999997</v>
      </c>
      <c r="K56" s="138">
        <f>(J56-J55)/(I56-I55)</f>
        <v>207.26656447349271</v>
      </c>
      <c r="L56" s="21">
        <f>SUM(L47:L55)</f>
        <v>281</v>
      </c>
      <c r="M56" s="227">
        <f>I56-I55</f>
        <v>309.93590000000006</v>
      </c>
    </row>
    <row r="57" spans="1:13" s="2" customFormat="1" ht="20.25" customHeight="1">
      <c r="A57" s="1"/>
      <c r="B57" s="1"/>
      <c r="C57" s="1"/>
      <c r="D57" s="1"/>
      <c r="E57" s="147"/>
      <c r="F57" s="147"/>
      <c r="G57" s="148"/>
      <c r="H57" s="147"/>
      <c r="I57" s="291"/>
      <c r="J57" s="295"/>
      <c r="K57" s="126"/>
      <c r="L57" s="58"/>
    </row>
    <row r="58" spans="1:13" s="5" customFormat="1" ht="16.75" customHeight="1">
      <c r="A58" s="3" t="s">
        <v>0</v>
      </c>
      <c r="B58" s="3"/>
      <c r="C58" s="3"/>
      <c r="D58" s="3"/>
      <c r="E58" s="149"/>
      <c r="F58" s="149"/>
      <c r="G58" s="150"/>
      <c r="H58" s="149"/>
      <c r="I58" s="278"/>
      <c r="J58" s="127"/>
      <c r="K58" s="127"/>
      <c r="L58" s="59"/>
      <c r="M58" s="4"/>
    </row>
    <row r="59" spans="1:13" s="4" customFormat="1" ht="12" customHeight="1">
      <c r="A59" s="6" t="s">
        <v>119</v>
      </c>
      <c r="B59" s="6"/>
      <c r="C59" s="6"/>
      <c r="D59" s="6"/>
      <c r="E59" s="151"/>
      <c r="F59" s="151"/>
      <c r="G59" s="151"/>
      <c r="H59" s="151"/>
      <c r="I59" s="279"/>
      <c r="J59" s="128"/>
      <c r="K59" s="190"/>
      <c r="L59" s="60"/>
    </row>
    <row r="60" spans="1:13" s="26" customFormat="1" ht="21" customHeight="1">
      <c r="A60" s="24"/>
      <c r="B60" s="24"/>
      <c r="C60" s="24"/>
      <c r="D60" s="24"/>
      <c r="E60" s="163"/>
      <c r="F60" s="163"/>
      <c r="G60" s="163"/>
      <c r="H60" s="164"/>
      <c r="I60" s="283"/>
      <c r="J60" s="140"/>
      <c r="K60" s="140"/>
      <c r="L60" s="25"/>
    </row>
    <row r="61" spans="1:13" s="8" customFormat="1" ht="13.5">
      <c r="A61" s="7"/>
      <c r="B61" s="7"/>
      <c r="C61" s="307" t="s">
        <v>129</v>
      </c>
      <c r="D61" s="307"/>
      <c r="E61" s="307"/>
      <c r="F61" s="307"/>
      <c r="G61" s="307"/>
      <c r="H61" s="307"/>
      <c r="I61" s="307"/>
      <c r="J61" s="129"/>
      <c r="K61" s="191"/>
      <c r="L61" s="44"/>
    </row>
    <row r="62" spans="1:13" s="8" customFormat="1" ht="25">
      <c r="A62" s="238" t="s">
        <v>124</v>
      </c>
      <c r="B62" s="9"/>
      <c r="C62" s="211" t="s">
        <v>122</v>
      </c>
      <c r="D62" s="237" t="s">
        <v>123</v>
      </c>
      <c r="E62" s="152" t="s">
        <v>6</v>
      </c>
      <c r="F62" s="152" t="s">
        <v>115</v>
      </c>
      <c r="G62" s="153" t="s">
        <v>111</v>
      </c>
      <c r="H62" s="153" t="s">
        <v>112</v>
      </c>
      <c r="I62" s="280" t="s">
        <v>110</v>
      </c>
      <c r="J62" s="130" t="s">
        <v>10</v>
      </c>
      <c r="K62" s="239" t="s">
        <v>125</v>
      </c>
      <c r="L62" s="240" t="s">
        <v>126</v>
      </c>
    </row>
    <row r="63" spans="1:13" s="11" customFormat="1" ht="11.5">
      <c r="A63" s="20" t="s">
        <v>47</v>
      </c>
      <c r="B63" s="20"/>
      <c r="C63" s="20"/>
      <c r="D63" s="20"/>
      <c r="E63" s="157"/>
      <c r="F63" s="157"/>
      <c r="G63" s="157"/>
      <c r="H63" s="157"/>
      <c r="I63" s="253"/>
      <c r="J63" s="133"/>
      <c r="K63" s="133"/>
      <c r="L63" s="65"/>
    </row>
    <row r="64" spans="1:13" s="81" customFormat="1" ht="13.15" customHeight="1">
      <c r="A64" s="82" t="s">
        <v>48</v>
      </c>
      <c r="B64" s="82"/>
      <c r="C64" s="219">
        <v>16.259499999999999</v>
      </c>
      <c r="D64" s="219">
        <v>8.9320000000000004</v>
      </c>
      <c r="E64" s="254">
        <f t="shared" ref="E64:E69" si="19">C64+D64</f>
        <v>25.191499999999998</v>
      </c>
      <c r="F64" s="254">
        <v>15.775</v>
      </c>
      <c r="G64" s="254">
        <f t="shared" ref="G64:G68" si="20">E64+F64</f>
        <v>40.966499999999996</v>
      </c>
      <c r="H64" s="254">
        <v>4.125</v>
      </c>
      <c r="I64" s="254">
        <f t="shared" ref="I64:I69" si="21">G64+H64</f>
        <v>45.091499999999996</v>
      </c>
      <c r="J64" s="132">
        <v>12166.5</v>
      </c>
      <c r="K64" s="132">
        <f t="shared" ref="K64:K68" si="22">J64/(G64+H64)</f>
        <v>269.8180366587938</v>
      </c>
      <c r="L64" s="83">
        <v>42</v>
      </c>
    </row>
    <row r="65" spans="1:13" s="81" customFormat="1" ht="13.15" customHeight="1">
      <c r="A65" s="84" t="s">
        <v>21</v>
      </c>
      <c r="B65" s="84"/>
      <c r="C65" s="220">
        <v>7.2889999999999997</v>
      </c>
      <c r="D65" s="220">
        <v>4.4995000000000003</v>
      </c>
      <c r="E65" s="253">
        <f t="shared" si="19"/>
        <v>11.788499999999999</v>
      </c>
      <c r="F65" s="253">
        <v>12.15</v>
      </c>
      <c r="G65" s="253">
        <f>E65+F65</f>
        <v>23.938499999999998</v>
      </c>
      <c r="H65" s="253">
        <v>0.25</v>
      </c>
      <c r="I65" s="253">
        <f t="shared" ref="I65" si="23">G65+H65</f>
        <v>24.188499999999998</v>
      </c>
      <c r="J65" s="133">
        <v>4395.82</v>
      </c>
      <c r="K65" s="133">
        <f t="shared" si="22"/>
        <v>181.73181470533518</v>
      </c>
      <c r="L65" s="12">
        <v>29</v>
      </c>
    </row>
    <row r="66" spans="1:13" s="81" customFormat="1" ht="13.15" customHeight="1">
      <c r="A66" s="82" t="s">
        <v>49</v>
      </c>
      <c r="B66" s="82"/>
      <c r="C66" s="219">
        <v>11.8543</v>
      </c>
      <c r="D66" s="219">
        <v>4.5332999999999997</v>
      </c>
      <c r="E66" s="254">
        <f t="shared" si="19"/>
        <v>16.387599999999999</v>
      </c>
      <c r="F66" s="254">
        <v>11.4725</v>
      </c>
      <c r="G66" s="254">
        <f t="shared" si="20"/>
        <v>27.860099999999999</v>
      </c>
      <c r="H66" s="254">
        <v>8.5</v>
      </c>
      <c r="I66" s="254">
        <f t="shared" si="21"/>
        <v>36.360100000000003</v>
      </c>
      <c r="J66" s="132">
        <v>11492.5</v>
      </c>
      <c r="K66" s="132">
        <f t="shared" si="22"/>
        <v>316.0744882439817</v>
      </c>
      <c r="L66" s="83">
        <v>37</v>
      </c>
    </row>
    <row r="67" spans="1:13" s="81" customFormat="1" ht="13.15" customHeight="1">
      <c r="A67" s="84" t="s">
        <v>50</v>
      </c>
      <c r="B67" s="84"/>
      <c r="C67" s="220">
        <v>13.4306</v>
      </c>
      <c r="D67" s="220">
        <v>4</v>
      </c>
      <c r="E67" s="253">
        <f t="shared" si="19"/>
        <v>17.430599999999998</v>
      </c>
      <c r="F67" s="253">
        <v>11.4</v>
      </c>
      <c r="G67" s="253">
        <f t="shared" si="20"/>
        <v>28.830599999999997</v>
      </c>
      <c r="H67" s="253">
        <v>9.1</v>
      </c>
      <c r="I67" s="253">
        <f t="shared" si="21"/>
        <v>37.930599999999998</v>
      </c>
      <c r="J67" s="133">
        <v>8989.5</v>
      </c>
      <c r="K67" s="133">
        <f t="shared" si="22"/>
        <v>236.99862380241811</v>
      </c>
      <c r="L67" s="12">
        <v>36</v>
      </c>
    </row>
    <row r="68" spans="1:13" s="81" customFormat="1" ht="13.15" customHeight="1">
      <c r="A68" s="82" t="s">
        <v>51</v>
      </c>
      <c r="B68" s="82"/>
      <c r="C68" s="219">
        <v>13</v>
      </c>
      <c r="D68" s="219">
        <v>20.75</v>
      </c>
      <c r="E68" s="254">
        <f t="shared" si="19"/>
        <v>33.75</v>
      </c>
      <c r="F68" s="254">
        <v>12.149800000000001</v>
      </c>
      <c r="G68" s="254">
        <f t="shared" si="20"/>
        <v>45.899799999999999</v>
      </c>
      <c r="H68" s="254">
        <v>3.3548</v>
      </c>
      <c r="I68" s="254">
        <f t="shared" si="21"/>
        <v>49.254599999999996</v>
      </c>
      <c r="J68" s="132">
        <v>11102.99</v>
      </c>
      <c r="K68" s="132">
        <f t="shared" si="22"/>
        <v>225.42036682868201</v>
      </c>
      <c r="L68" s="83">
        <v>60</v>
      </c>
    </row>
    <row r="69" spans="1:13" s="122" customFormat="1" ht="13.15" customHeight="1">
      <c r="A69" s="13" t="s">
        <v>52</v>
      </c>
      <c r="B69" s="13"/>
      <c r="C69" s="221"/>
      <c r="D69" s="221"/>
      <c r="E69" s="259">
        <f t="shared" si="19"/>
        <v>0</v>
      </c>
      <c r="F69" s="258"/>
      <c r="G69" s="258"/>
      <c r="H69" s="258"/>
      <c r="I69" s="259">
        <f t="shared" si="21"/>
        <v>0</v>
      </c>
      <c r="J69" s="137">
        <v>67.88</v>
      </c>
      <c r="K69" s="137"/>
      <c r="L69" s="67"/>
    </row>
    <row r="70" spans="1:13" s="22" customFormat="1" ht="15" customHeight="1">
      <c r="A70" s="23" t="s">
        <v>98</v>
      </c>
      <c r="B70" s="23"/>
      <c r="C70" s="222">
        <f>SUM(C64:C69)</f>
        <v>61.833399999999997</v>
      </c>
      <c r="D70" s="222">
        <f>SUM(D64:D69)</f>
        <v>42.714799999999997</v>
      </c>
      <c r="E70" s="256">
        <f>SUM(E64:E69)</f>
        <v>104.54819999999999</v>
      </c>
      <c r="F70" s="256">
        <f>SUM(F64:F69)</f>
        <v>62.947299999999998</v>
      </c>
      <c r="G70" s="256">
        <f>E70+F70</f>
        <v>167.49549999999999</v>
      </c>
      <c r="H70" s="257">
        <f>SUM(H64:H69)</f>
        <v>25.329800000000002</v>
      </c>
      <c r="I70" s="256">
        <f>SUM(I64:I69)</f>
        <v>192.82529999999997</v>
      </c>
      <c r="J70" s="138">
        <f>SUM(J64:J69)</f>
        <v>48215.189999999995</v>
      </c>
      <c r="K70" s="138">
        <f>(J70-J69)/(I70-I69)</f>
        <v>249.69394576334125</v>
      </c>
      <c r="L70" s="21">
        <f>SUM(L63:L69)</f>
        <v>204</v>
      </c>
      <c r="M70" s="227">
        <f>I70-I69</f>
        <v>192.82529999999997</v>
      </c>
    </row>
    <row r="71" spans="1:13" ht="12.75" customHeight="1">
      <c r="C71" s="223"/>
      <c r="D71" s="223"/>
      <c r="I71" s="300"/>
      <c r="J71" s="126"/>
    </row>
    <row r="72" spans="1:13" s="11" customFormat="1" ht="11.5">
      <c r="A72" s="27" t="s">
        <v>53</v>
      </c>
      <c r="B72" s="27"/>
      <c r="C72" s="224"/>
      <c r="D72" s="224"/>
      <c r="E72" s="157"/>
      <c r="F72" s="157"/>
      <c r="G72" s="157"/>
      <c r="H72" s="157"/>
      <c r="I72" s="253"/>
      <c r="J72" s="133"/>
      <c r="K72" s="133"/>
      <c r="L72" s="63"/>
    </row>
    <row r="73" spans="1:13" s="11" customFormat="1" ht="11.5">
      <c r="A73" s="20" t="s">
        <v>54</v>
      </c>
      <c r="B73" s="20"/>
      <c r="C73" s="222"/>
      <c r="D73" s="222"/>
      <c r="E73" s="157"/>
      <c r="F73" s="157"/>
      <c r="G73" s="157"/>
      <c r="H73" s="157"/>
      <c r="I73" s="253"/>
      <c r="J73" s="133"/>
      <c r="K73" s="133"/>
      <c r="L73" s="65"/>
    </row>
    <row r="74" spans="1:13" s="81" customFormat="1" ht="13.15" customHeight="1">
      <c r="A74" s="82" t="s">
        <v>55</v>
      </c>
      <c r="B74" s="82"/>
      <c r="C74" s="219">
        <v>29.0824</v>
      </c>
      <c r="D74" s="219">
        <v>9.0000999999999998</v>
      </c>
      <c r="E74" s="254">
        <f t="shared" ref="E74:E79" si="24">C74+D74</f>
        <v>38.082499999999996</v>
      </c>
      <c r="F74" s="254">
        <v>44</v>
      </c>
      <c r="G74" s="254">
        <f t="shared" ref="G74:G79" si="25">E74+F74</f>
        <v>82.082499999999996</v>
      </c>
      <c r="H74" s="254">
        <v>37.104799999999997</v>
      </c>
      <c r="I74" s="254">
        <f t="shared" ref="I74:I78" si="26">G74+H74</f>
        <v>119.18729999999999</v>
      </c>
      <c r="J74" s="132">
        <v>27168.629999999997</v>
      </c>
      <c r="K74" s="132">
        <f t="shared" ref="K74:K80" si="27">J74/(G74+H74)</f>
        <v>227.94903483844334</v>
      </c>
      <c r="L74" s="83">
        <v>95</v>
      </c>
    </row>
    <row r="75" spans="1:13" s="81" customFormat="1" ht="13.15" customHeight="1">
      <c r="A75" s="84" t="s">
        <v>56</v>
      </c>
      <c r="B75" s="84"/>
      <c r="C75" s="220">
        <v>10</v>
      </c>
      <c r="D75" s="220">
        <v>4</v>
      </c>
      <c r="E75" s="253">
        <f t="shared" si="24"/>
        <v>14</v>
      </c>
      <c r="F75" s="253">
        <v>10.5</v>
      </c>
      <c r="G75" s="253">
        <f t="shared" si="25"/>
        <v>24.5</v>
      </c>
      <c r="H75" s="253">
        <v>1.25</v>
      </c>
      <c r="I75" s="253">
        <f t="shared" si="26"/>
        <v>25.75</v>
      </c>
      <c r="J75" s="133">
        <v>6696</v>
      </c>
      <c r="K75" s="133">
        <f t="shared" si="27"/>
        <v>260.03883495145629</v>
      </c>
      <c r="L75" s="12">
        <v>30</v>
      </c>
    </row>
    <row r="76" spans="1:13" s="81" customFormat="1" ht="13.15" customHeight="1">
      <c r="A76" s="82" t="s">
        <v>57</v>
      </c>
      <c r="B76" s="82"/>
      <c r="C76" s="219">
        <v>15</v>
      </c>
      <c r="D76" s="219">
        <v>6</v>
      </c>
      <c r="E76" s="254">
        <f t="shared" si="24"/>
        <v>21</v>
      </c>
      <c r="F76" s="254">
        <v>3.25</v>
      </c>
      <c r="G76" s="254">
        <f t="shared" si="25"/>
        <v>24.25</v>
      </c>
      <c r="H76" s="254">
        <v>5.5</v>
      </c>
      <c r="I76" s="254">
        <f t="shared" si="26"/>
        <v>29.75</v>
      </c>
      <c r="J76" s="132">
        <v>5300.35</v>
      </c>
      <c r="K76" s="132">
        <f t="shared" si="27"/>
        <v>178.16302521008404</v>
      </c>
      <c r="L76" s="83">
        <v>25</v>
      </c>
    </row>
    <row r="77" spans="1:13" s="81" customFormat="1" ht="13.15" customHeight="1">
      <c r="A77" s="84" t="s">
        <v>58</v>
      </c>
      <c r="B77" s="84"/>
      <c r="C77" s="220">
        <v>15.8893</v>
      </c>
      <c r="D77" s="220">
        <v>6</v>
      </c>
      <c r="E77" s="253">
        <f t="shared" si="24"/>
        <v>21.889299999999999</v>
      </c>
      <c r="F77" s="253">
        <v>14.1005</v>
      </c>
      <c r="G77" s="253">
        <f t="shared" si="25"/>
        <v>35.989800000000002</v>
      </c>
      <c r="H77" s="253"/>
      <c r="I77" s="253">
        <f t="shared" si="26"/>
        <v>35.989800000000002</v>
      </c>
      <c r="J77" s="133">
        <v>6663.5</v>
      </c>
      <c r="K77" s="133">
        <f t="shared" si="27"/>
        <v>185.14968129859014</v>
      </c>
      <c r="L77" s="12">
        <v>42</v>
      </c>
    </row>
    <row r="78" spans="1:13" s="81" customFormat="1" ht="13.15" customHeight="1">
      <c r="A78" s="82" t="s">
        <v>59</v>
      </c>
      <c r="B78" s="82"/>
      <c r="C78" s="219">
        <v>12.5</v>
      </c>
      <c r="D78" s="219">
        <v>4</v>
      </c>
      <c r="E78" s="254">
        <f t="shared" si="24"/>
        <v>16.5</v>
      </c>
      <c r="F78" s="254">
        <v>5.25</v>
      </c>
      <c r="G78" s="254">
        <f t="shared" si="25"/>
        <v>21.75</v>
      </c>
      <c r="H78" s="254"/>
      <c r="I78" s="254">
        <f t="shared" si="26"/>
        <v>21.75</v>
      </c>
      <c r="J78" s="132">
        <v>9188</v>
      </c>
      <c r="K78" s="132">
        <f t="shared" si="27"/>
        <v>422.43678160919541</v>
      </c>
      <c r="L78" s="83">
        <v>24</v>
      </c>
    </row>
    <row r="79" spans="1:13" s="122" customFormat="1" ht="13.15" customHeight="1">
      <c r="A79" s="13" t="s">
        <v>105</v>
      </c>
      <c r="B79" s="13"/>
      <c r="C79" s="221">
        <v>21</v>
      </c>
      <c r="D79" s="221">
        <v>5</v>
      </c>
      <c r="E79" s="258">
        <f t="shared" si="24"/>
        <v>26</v>
      </c>
      <c r="F79" s="258">
        <v>17.1112</v>
      </c>
      <c r="G79" s="258">
        <f t="shared" si="25"/>
        <v>43.111199999999997</v>
      </c>
      <c r="H79" s="258">
        <v>3.75</v>
      </c>
      <c r="I79" s="258">
        <f>G79+H79</f>
        <v>46.861199999999997</v>
      </c>
      <c r="J79" s="137">
        <v>13162</v>
      </c>
      <c r="K79" s="137">
        <f t="shared" si="27"/>
        <v>280.8720220566268</v>
      </c>
      <c r="L79" s="14">
        <v>52</v>
      </c>
    </row>
    <row r="80" spans="1:13" s="22" customFormat="1" ht="11.5">
      <c r="A80" s="23" t="s">
        <v>60</v>
      </c>
      <c r="B80" s="23"/>
      <c r="C80" s="222">
        <f>SUM(C74:C79)</f>
        <v>103.4717</v>
      </c>
      <c r="D80" s="222">
        <f>SUM(D74:D79)</f>
        <v>34.000100000000003</v>
      </c>
      <c r="E80" s="256">
        <f>SUM(E74:E79)</f>
        <v>137.4718</v>
      </c>
      <c r="F80" s="256">
        <f>SUM(F74:F79)</f>
        <v>94.211699999999993</v>
      </c>
      <c r="G80" s="256">
        <f>E80+F80</f>
        <v>231.68349999999998</v>
      </c>
      <c r="H80" s="257">
        <f>SUM(H74:H79)</f>
        <v>47.604799999999997</v>
      </c>
      <c r="I80" s="256">
        <f>SUM(I74:I79)</f>
        <v>279.28829999999999</v>
      </c>
      <c r="J80" s="138">
        <f>SUM(J74:J79)</f>
        <v>68178.48</v>
      </c>
      <c r="K80" s="138">
        <f t="shared" si="27"/>
        <v>244.11505959970395</v>
      </c>
      <c r="L80" s="21">
        <f>SUM(L74:L79)</f>
        <v>268</v>
      </c>
      <c r="M80" s="227">
        <f>I80</f>
        <v>279.28829999999999</v>
      </c>
    </row>
    <row r="81" spans="1:13" s="22" customFormat="1" ht="11.5">
      <c r="A81" s="23"/>
      <c r="B81" s="23"/>
      <c r="C81" s="23"/>
      <c r="D81" s="23"/>
      <c r="E81" s="160"/>
      <c r="F81" s="160"/>
      <c r="G81" s="160"/>
      <c r="H81" s="161"/>
      <c r="I81" s="256"/>
      <c r="J81" s="138"/>
      <c r="K81" s="138"/>
      <c r="L81" s="21"/>
    </row>
    <row r="82" spans="1:13" s="11" customFormat="1" ht="11.5">
      <c r="A82" s="303" t="s">
        <v>61</v>
      </c>
      <c r="B82" s="303"/>
      <c r="C82" s="303"/>
      <c r="D82" s="303"/>
      <c r="E82" s="304"/>
      <c r="F82" s="304"/>
      <c r="G82" s="304"/>
      <c r="H82" s="304"/>
      <c r="I82" s="253"/>
      <c r="J82" s="133"/>
      <c r="K82" s="133"/>
      <c r="L82" s="63"/>
    </row>
    <row r="83" spans="1:13" s="81" customFormat="1" ht="13.15" customHeight="1">
      <c r="A83" s="82" t="s">
        <v>17</v>
      </c>
      <c r="B83" s="82"/>
      <c r="C83" s="201">
        <v>11</v>
      </c>
      <c r="D83" s="201">
        <v>2</v>
      </c>
      <c r="E83" s="254">
        <f t="shared" ref="E83:E91" si="28">C83+D83</f>
        <v>13</v>
      </c>
      <c r="F83" s="254"/>
      <c r="G83" s="254">
        <f t="shared" ref="G83:G91" si="29">E83+F83</f>
        <v>13</v>
      </c>
      <c r="H83" s="254">
        <v>0.25</v>
      </c>
      <c r="I83" s="254">
        <f>G83+H83</f>
        <v>13.25</v>
      </c>
      <c r="J83" s="132">
        <v>1991.5279</v>
      </c>
      <c r="K83" s="132">
        <f>J83/(G83+H83)</f>
        <v>150.30399245283019</v>
      </c>
      <c r="L83" s="83">
        <v>13</v>
      </c>
    </row>
    <row r="84" spans="1:13" s="81" customFormat="1" ht="13.15" customHeight="1">
      <c r="A84" s="84" t="s">
        <v>62</v>
      </c>
      <c r="B84" s="84"/>
      <c r="C84" s="202">
        <v>18.5837</v>
      </c>
      <c r="D84" s="202">
        <v>8</v>
      </c>
      <c r="E84" s="253">
        <f t="shared" si="28"/>
        <v>26.5837</v>
      </c>
      <c r="F84" s="253">
        <v>5.4375</v>
      </c>
      <c r="G84" s="253">
        <f t="shared" si="29"/>
        <v>32.0212</v>
      </c>
      <c r="H84" s="253">
        <v>55.411700000000003</v>
      </c>
      <c r="I84" s="253">
        <f t="shared" ref="I84:I91" si="30">G84+H84</f>
        <v>87.432900000000004</v>
      </c>
      <c r="J84" s="133">
        <v>19509.650000000001</v>
      </c>
      <c r="K84" s="133">
        <f t="shared" ref="K84:K91" si="31">J84/(G84+H84)</f>
        <v>223.13854395770929</v>
      </c>
      <c r="L84" s="12">
        <v>35</v>
      </c>
    </row>
    <row r="85" spans="1:13" s="81" customFormat="1" ht="13.15" customHeight="1">
      <c r="A85" s="82" t="s">
        <v>63</v>
      </c>
      <c r="B85" s="82"/>
      <c r="C85" s="201">
        <v>22.5</v>
      </c>
      <c r="D85" s="201">
        <v>6.9650999999999996</v>
      </c>
      <c r="E85" s="254">
        <f t="shared" si="28"/>
        <v>29.4651</v>
      </c>
      <c r="F85" s="254">
        <v>7.625</v>
      </c>
      <c r="G85" s="254">
        <f t="shared" si="29"/>
        <v>37.0901</v>
      </c>
      <c r="H85" s="254">
        <v>50.5</v>
      </c>
      <c r="I85" s="254">
        <f t="shared" si="30"/>
        <v>87.590100000000007</v>
      </c>
      <c r="J85" s="132">
        <v>17711</v>
      </c>
      <c r="K85" s="132">
        <f t="shared" si="31"/>
        <v>202.20321703023512</v>
      </c>
      <c r="L85" s="83">
        <v>40</v>
      </c>
    </row>
    <row r="86" spans="1:13" s="81" customFormat="1" ht="13.15" customHeight="1">
      <c r="A86" s="84" t="s">
        <v>18</v>
      </c>
      <c r="B86" s="84"/>
      <c r="C86" s="202">
        <v>14</v>
      </c>
      <c r="D86" s="202">
        <v>4</v>
      </c>
      <c r="E86" s="253">
        <f t="shared" si="28"/>
        <v>18</v>
      </c>
      <c r="F86" s="253">
        <v>4.375</v>
      </c>
      <c r="G86" s="253">
        <f t="shared" si="29"/>
        <v>22.375</v>
      </c>
      <c r="H86" s="253">
        <f>8.7381+0.75</f>
        <v>9.4880999999999993</v>
      </c>
      <c r="I86" s="253">
        <f t="shared" si="30"/>
        <v>31.863099999999999</v>
      </c>
      <c r="J86" s="133">
        <v>6310.4220000000005</v>
      </c>
      <c r="K86" s="133">
        <f t="shared" si="31"/>
        <v>198.0479614350142</v>
      </c>
      <c r="L86" s="12">
        <v>23</v>
      </c>
    </row>
    <row r="87" spans="1:13" s="81" customFormat="1" ht="13.15" customHeight="1">
      <c r="A87" s="82" t="s">
        <v>22</v>
      </c>
      <c r="B87" s="82"/>
      <c r="C87" s="201">
        <v>7.5899000000000001</v>
      </c>
      <c r="D87" s="201">
        <v>4</v>
      </c>
      <c r="E87" s="254">
        <f t="shared" si="28"/>
        <v>11.5899</v>
      </c>
      <c r="F87" s="254">
        <v>5</v>
      </c>
      <c r="G87" s="254">
        <f t="shared" si="29"/>
        <v>16.5899</v>
      </c>
      <c r="H87" s="254">
        <v>7.5</v>
      </c>
      <c r="I87" s="254">
        <f t="shared" si="30"/>
        <v>24.0899</v>
      </c>
      <c r="J87" s="132">
        <v>3882.6007999999997</v>
      </c>
      <c r="K87" s="132">
        <f t="shared" si="31"/>
        <v>161.17131245874825</v>
      </c>
      <c r="L87" s="83">
        <v>18</v>
      </c>
    </row>
    <row r="88" spans="1:13" s="81" customFormat="1" ht="13.15" customHeight="1">
      <c r="A88" s="84" t="s">
        <v>64</v>
      </c>
      <c r="B88" s="84"/>
      <c r="C88" s="202">
        <v>12</v>
      </c>
      <c r="D88" s="202">
        <v>4</v>
      </c>
      <c r="E88" s="253">
        <f t="shared" si="28"/>
        <v>16</v>
      </c>
      <c r="F88" s="253">
        <v>3.1749999999999998</v>
      </c>
      <c r="G88" s="253">
        <f t="shared" si="29"/>
        <v>19.175000000000001</v>
      </c>
      <c r="H88" s="253">
        <v>4.125</v>
      </c>
      <c r="I88" s="253">
        <f t="shared" si="30"/>
        <v>23.3</v>
      </c>
      <c r="J88" s="133">
        <v>4736</v>
      </c>
      <c r="K88" s="133">
        <f t="shared" si="31"/>
        <v>203.26180257510728</v>
      </c>
      <c r="L88" s="12">
        <v>20</v>
      </c>
    </row>
    <row r="89" spans="1:13" s="81" customFormat="1" ht="13.15" customHeight="1">
      <c r="A89" s="82" t="s">
        <v>65</v>
      </c>
      <c r="B89" s="82"/>
      <c r="C89" s="201">
        <v>26.5</v>
      </c>
      <c r="D89" s="201">
        <v>10</v>
      </c>
      <c r="E89" s="254">
        <f t="shared" si="28"/>
        <v>36.5</v>
      </c>
      <c r="F89" s="254">
        <v>14.1248</v>
      </c>
      <c r="G89" s="254">
        <f t="shared" si="29"/>
        <v>50.6248</v>
      </c>
      <c r="H89" s="254">
        <v>37.25</v>
      </c>
      <c r="I89" s="254">
        <f t="shared" si="30"/>
        <v>87.874799999999993</v>
      </c>
      <c r="J89" s="132">
        <v>30884.5</v>
      </c>
      <c r="K89" s="132">
        <f t="shared" si="31"/>
        <v>351.4602593690114</v>
      </c>
      <c r="L89" s="83">
        <v>56</v>
      </c>
    </row>
    <row r="90" spans="1:13" s="81" customFormat="1" ht="13.15" customHeight="1">
      <c r="A90" s="84" t="s">
        <v>66</v>
      </c>
      <c r="B90" s="84"/>
      <c r="C90" s="202">
        <v>31.118200000000002</v>
      </c>
      <c r="D90" s="202">
        <v>7</v>
      </c>
      <c r="E90" s="253">
        <f t="shared" si="28"/>
        <v>38.118200000000002</v>
      </c>
      <c r="F90" s="253">
        <v>6.2605000000000004</v>
      </c>
      <c r="G90" s="253">
        <f t="shared" si="29"/>
        <v>44.378700000000002</v>
      </c>
      <c r="H90" s="253">
        <v>19.399999999999999</v>
      </c>
      <c r="I90" s="253">
        <f t="shared" si="30"/>
        <v>63.778700000000001</v>
      </c>
      <c r="J90" s="133">
        <v>9378.25</v>
      </c>
      <c r="K90" s="133">
        <f t="shared" si="31"/>
        <v>147.04360546702895</v>
      </c>
      <c r="L90" s="12">
        <v>50</v>
      </c>
    </row>
    <row r="91" spans="1:13" s="122" customFormat="1" ht="13.15" customHeight="1">
      <c r="A91" s="85" t="s">
        <v>67</v>
      </c>
      <c r="B91" s="85"/>
      <c r="C91" s="210">
        <v>21.1252</v>
      </c>
      <c r="D91" s="210">
        <v>5.1070000000000002</v>
      </c>
      <c r="E91" s="255">
        <f t="shared" si="28"/>
        <v>26.232199999999999</v>
      </c>
      <c r="F91" s="255">
        <v>3.03</v>
      </c>
      <c r="G91" s="255">
        <f t="shared" si="29"/>
        <v>29.2622</v>
      </c>
      <c r="H91" s="255">
        <v>33.125</v>
      </c>
      <c r="I91" s="255">
        <f t="shared" si="30"/>
        <v>62.3872</v>
      </c>
      <c r="J91" s="134">
        <v>11663.432700000001</v>
      </c>
      <c r="K91" s="134">
        <f t="shared" si="31"/>
        <v>186.95233477379978</v>
      </c>
      <c r="L91" s="86">
        <v>38</v>
      </c>
    </row>
    <row r="92" spans="1:13" s="17" customFormat="1" ht="11.5">
      <c r="A92" s="20" t="s">
        <v>68</v>
      </c>
      <c r="B92" s="20"/>
      <c r="C92" s="205">
        <f>SUM(C83:C91)</f>
        <v>164.417</v>
      </c>
      <c r="D92" s="205">
        <f>SUM(D83:D91)</f>
        <v>51.072099999999999</v>
      </c>
      <c r="E92" s="256">
        <f>SUM(E83:E91)</f>
        <v>215.48910000000001</v>
      </c>
      <c r="F92" s="256">
        <f>SUM(F83:F91)</f>
        <v>49.027800000000006</v>
      </c>
      <c r="G92" s="256">
        <f>E92+F92</f>
        <v>264.51690000000002</v>
      </c>
      <c r="H92" s="257">
        <f>SUM(H83:H91)</f>
        <v>217.0498</v>
      </c>
      <c r="I92" s="256">
        <f>SUM(I83:I91)</f>
        <v>481.56670000000003</v>
      </c>
      <c r="J92" s="138">
        <f>SUM(J83:J91)</f>
        <v>106067.38340000001</v>
      </c>
      <c r="K92" s="138">
        <f>J92/(G92+H92)</f>
        <v>220.2548128846949</v>
      </c>
      <c r="L92" s="21">
        <f>SUM(L83:L91)</f>
        <v>293</v>
      </c>
      <c r="M92" s="228">
        <f>I92</f>
        <v>481.56670000000003</v>
      </c>
    </row>
    <row r="93" spans="1:13" s="2" customFormat="1" ht="15" customHeight="1">
      <c r="A93" s="1"/>
      <c r="B93" s="1"/>
      <c r="C93" s="1"/>
      <c r="D93" s="1"/>
      <c r="E93" s="147"/>
      <c r="F93" s="147"/>
      <c r="G93" s="148"/>
      <c r="H93" s="147"/>
      <c r="I93" s="223"/>
      <c r="J93" s="126"/>
      <c r="K93" s="126"/>
      <c r="L93" s="58"/>
    </row>
    <row r="94" spans="1:13" s="11" customFormat="1" ht="11.5">
      <c r="A94" s="20" t="s">
        <v>69</v>
      </c>
      <c r="B94" s="20"/>
      <c r="C94" s="20"/>
      <c r="D94" s="20"/>
      <c r="E94" s="165"/>
      <c r="F94" s="157"/>
      <c r="G94" s="157"/>
      <c r="H94" s="157"/>
      <c r="I94" s="253"/>
      <c r="J94" s="133"/>
      <c r="K94" s="133"/>
      <c r="L94" s="65"/>
    </row>
    <row r="95" spans="1:13" s="81" customFormat="1" ht="13.15" customHeight="1">
      <c r="A95" s="84" t="s">
        <v>19</v>
      </c>
      <c r="B95" s="84"/>
      <c r="C95" s="202">
        <v>8.6667000000000005</v>
      </c>
      <c r="D95" s="202">
        <v>5</v>
      </c>
      <c r="E95" s="253">
        <f t="shared" ref="E95:E98" si="32">C95+D95</f>
        <v>13.666700000000001</v>
      </c>
      <c r="F95" s="253">
        <v>1</v>
      </c>
      <c r="G95" s="253">
        <f t="shared" ref="G95:G98" si="33">E95+F95</f>
        <v>14.666700000000001</v>
      </c>
      <c r="H95" s="253">
        <v>14.5</v>
      </c>
      <c r="I95" s="253">
        <f>G95+H95</f>
        <v>29.166699999999999</v>
      </c>
      <c r="J95" s="133">
        <v>5972.4850000000006</v>
      </c>
      <c r="K95" s="133">
        <f t="shared" ref="K95:K99" si="34">J95/(G95+H95)</f>
        <v>204.77068026207974</v>
      </c>
      <c r="L95" s="12">
        <v>17</v>
      </c>
    </row>
    <row r="96" spans="1:13" s="81" customFormat="1" ht="13.15" customHeight="1">
      <c r="A96" s="82" t="s">
        <v>70</v>
      </c>
      <c r="B96" s="82"/>
      <c r="C96" s="201">
        <v>9</v>
      </c>
      <c r="D96" s="201">
        <v>3.9820000000000002</v>
      </c>
      <c r="E96" s="254">
        <f t="shared" si="32"/>
        <v>12.981999999999999</v>
      </c>
      <c r="F96" s="254">
        <v>6.0625</v>
      </c>
      <c r="G96" s="254">
        <f t="shared" si="33"/>
        <v>19.044499999999999</v>
      </c>
      <c r="H96" s="254">
        <v>3.5</v>
      </c>
      <c r="I96" s="254">
        <f>G96+H96</f>
        <v>22.544499999999999</v>
      </c>
      <c r="J96" s="132">
        <v>4783.3525</v>
      </c>
      <c r="K96" s="132">
        <f t="shared" si="34"/>
        <v>212.17381179445098</v>
      </c>
      <c r="L96" s="83">
        <v>21</v>
      </c>
    </row>
    <row r="97" spans="1:14" s="81" customFormat="1" ht="13.15" customHeight="1">
      <c r="A97" s="84" t="s">
        <v>71</v>
      </c>
      <c r="B97" s="84"/>
      <c r="C97" s="202">
        <v>23.224599999999999</v>
      </c>
      <c r="D97" s="202">
        <v>4</v>
      </c>
      <c r="E97" s="253">
        <f t="shared" si="32"/>
        <v>27.224599999999999</v>
      </c>
      <c r="F97" s="253">
        <v>11.03</v>
      </c>
      <c r="G97" s="253">
        <f t="shared" si="33"/>
        <v>38.254599999999996</v>
      </c>
      <c r="H97" s="253">
        <v>16</v>
      </c>
      <c r="I97" s="253">
        <f>G97+H97</f>
        <v>54.254599999999996</v>
      </c>
      <c r="J97" s="133">
        <v>15236.38</v>
      </c>
      <c r="K97" s="133">
        <f t="shared" si="34"/>
        <v>280.83111846737421</v>
      </c>
      <c r="L97" s="12">
        <v>45</v>
      </c>
    </row>
    <row r="98" spans="1:14" s="122" customFormat="1" ht="13.15" customHeight="1">
      <c r="A98" s="85" t="s">
        <v>26</v>
      </c>
      <c r="B98" s="85"/>
      <c r="C98" s="210">
        <v>11.8667</v>
      </c>
      <c r="D98" s="210">
        <v>2.5</v>
      </c>
      <c r="E98" s="255">
        <f t="shared" si="32"/>
        <v>14.3667</v>
      </c>
      <c r="F98" s="255">
        <v>4.625</v>
      </c>
      <c r="G98" s="255">
        <f t="shared" si="33"/>
        <v>18.991700000000002</v>
      </c>
      <c r="H98" s="255">
        <v>4.8341000000000003</v>
      </c>
      <c r="I98" s="255">
        <f>G98+H98</f>
        <v>23.825800000000001</v>
      </c>
      <c r="J98" s="134">
        <v>9046.442500000001</v>
      </c>
      <c r="K98" s="134">
        <f t="shared" si="34"/>
        <v>379.69102821311355</v>
      </c>
      <c r="L98" s="86">
        <v>23</v>
      </c>
    </row>
    <row r="99" spans="1:14" s="17" customFormat="1" ht="11.5">
      <c r="A99" s="20" t="s">
        <v>72</v>
      </c>
      <c r="B99" s="20"/>
      <c r="C99" s="205">
        <f>SUM(C95:C98)</f>
        <v>52.758000000000003</v>
      </c>
      <c r="D99" s="205">
        <f>SUM(D95:D98)</f>
        <v>15.481999999999999</v>
      </c>
      <c r="E99" s="256">
        <f>SUM(E95:E98)</f>
        <v>68.239999999999995</v>
      </c>
      <c r="F99" s="256">
        <f>SUM(F95:F98)</f>
        <v>22.717500000000001</v>
      </c>
      <c r="G99" s="256">
        <f>E99+F99</f>
        <v>90.957499999999996</v>
      </c>
      <c r="H99" s="257">
        <f>SUM(H95:H98)</f>
        <v>38.834099999999999</v>
      </c>
      <c r="I99" s="256">
        <f>SUM(I95:I98)</f>
        <v>129.79160000000002</v>
      </c>
      <c r="J99" s="138">
        <f>SUM(J95:J98)</f>
        <v>35038.660000000003</v>
      </c>
      <c r="K99" s="138">
        <f t="shared" si="34"/>
        <v>269.96092197029702</v>
      </c>
      <c r="L99" s="21">
        <f>SUM(L95:L98)</f>
        <v>106</v>
      </c>
      <c r="M99" s="228">
        <f>I99</f>
        <v>129.79160000000002</v>
      </c>
    </row>
    <row r="100" spans="1:14" s="17" customFormat="1" ht="11.5">
      <c r="A100" s="20"/>
      <c r="B100" s="20"/>
      <c r="C100" s="20"/>
      <c r="D100" s="20"/>
      <c r="E100" s="160"/>
      <c r="F100" s="160"/>
      <c r="G100" s="160"/>
      <c r="H100" s="161"/>
      <c r="I100" s="256"/>
      <c r="J100" s="138"/>
      <c r="K100" s="138"/>
      <c r="L100" s="21"/>
    </row>
    <row r="101" spans="1:14" s="28" customFormat="1" ht="13.5">
      <c r="A101" s="45" t="s">
        <v>106</v>
      </c>
      <c r="B101" s="20"/>
      <c r="C101" s="20"/>
      <c r="D101" s="20"/>
      <c r="E101" s="166"/>
      <c r="F101" s="166"/>
      <c r="G101" s="157"/>
      <c r="H101" s="166"/>
      <c r="I101" s="301"/>
      <c r="J101" s="141"/>
      <c r="K101" s="141"/>
      <c r="L101" s="66"/>
    </row>
    <row r="102" spans="1:14" s="81" customFormat="1" ht="13.15" customHeight="1">
      <c r="A102" s="82" t="s">
        <v>73</v>
      </c>
      <c r="B102" s="82"/>
      <c r="C102" s="82"/>
      <c r="D102" s="82"/>
      <c r="E102" s="156"/>
      <c r="F102" s="156"/>
      <c r="G102" s="156"/>
      <c r="H102" s="156"/>
      <c r="I102" s="254"/>
      <c r="J102" s="132">
        <v>391</v>
      </c>
      <c r="K102" s="132"/>
      <c r="L102" s="92"/>
    </row>
    <row r="103" spans="1:14" s="81" customFormat="1" ht="13.15" customHeight="1">
      <c r="A103" s="84" t="s">
        <v>74</v>
      </c>
      <c r="B103" s="84"/>
      <c r="C103" s="84"/>
      <c r="D103" s="84"/>
      <c r="E103" s="157"/>
      <c r="F103" s="157"/>
      <c r="G103" s="157"/>
      <c r="H103" s="157"/>
      <c r="I103" s="253"/>
      <c r="J103" s="133">
        <v>527</v>
      </c>
      <c r="K103" s="133"/>
      <c r="L103" s="65"/>
    </row>
    <row r="104" spans="1:14" s="122" customFormat="1" ht="13.15" customHeight="1">
      <c r="A104" s="85" t="s">
        <v>75</v>
      </c>
      <c r="B104" s="85"/>
      <c r="C104" s="85"/>
      <c r="D104" s="85"/>
      <c r="E104" s="158"/>
      <c r="F104" s="158"/>
      <c r="G104" s="158"/>
      <c r="H104" s="158"/>
      <c r="I104" s="255"/>
      <c r="J104" s="134">
        <v>235</v>
      </c>
      <c r="K104" s="134"/>
      <c r="L104" s="93"/>
    </row>
    <row r="105" spans="1:14" s="17" customFormat="1" ht="11.5">
      <c r="A105" s="20" t="s">
        <v>76</v>
      </c>
      <c r="B105" s="20"/>
      <c r="C105" s="20"/>
      <c r="D105" s="20"/>
      <c r="E105" s="160"/>
      <c r="F105" s="160"/>
      <c r="G105" s="160"/>
      <c r="H105" s="160"/>
      <c r="I105" s="256"/>
      <c r="J105" s="138">
        <f>SUM(J102:J104)</f>
        <v>1153</v>
      </c>
      <c r="K105" s="138"/>
      <c r="L105" s="64"/>
    </row>
    <row r="106" spans="1:14" s="17" customFormat="1" ht="11.5">
      <c r="A106" s="20"/>
      <c r="B106" s="20"/>
      <c r="C106" s="20"/>
      <c r="D106" s="20"/>
      <c r="E106" s="160"/>
      <c r="F106" s="160"/>
      <c r="G106" s="160"/>
      <c r="H106" s="160"/>
      <c r="I106" s="256"/>
      <c r="J106" s="138"/>
      <c r="K106" s="138"/>
      <c r="L106" s="64"/>
      <c r="M106" s="225"/>
    </row>
    <row r="107" spans="1:14" s="11" customFormat="1" ht="11.5">
      <c r="A107" s="13" t="s">
        <v>77</v>
      </c>
      <c r="B107" s="13"/>
      <c r="C107" s="232">
        <v>0</v>
      </c>
      <c r="D107" s="232">
        <v>0</v>
      </c>
      <c r="E107" s="231">
        <f t="shared" ref="E107" si="35">C107+D107</f>
        <v>0</v>
      </c>
      <c r="F107" s="258">
        <v>1</v>
      </c>
      <c r="G107" s="110">
        <f t="shared" ref="G107" si="36">E107+F107</f>
        <v>1</v>
      </c>
      <c r="H107" s="258">
        <f>6.25+4.5+0.25+0.5+0.487</f>
        <v>11.987</v>
      </c>
      <c r="I107" s="258">
        <f>G107+H107</f>
        <v>12.987</v>
      </c>
      <c r="J107" s="137">
        <v>946.77600000000007</v>
      </c>
      <c r="K107" s="137"/>
      <c r="L107" s="12">
        <v>1</v>
      </c>
      <c r="M107" s="230"/>
    </row>
    <row r="108" spans="1:14" s="17" customFormat="1" ht="15" customHeight="1">
      <c r="A108" s="20" t="s">
        <v>99</v>
      </c>
      <c r="B108" s="20"/>
      <c r="C108" s="214">
        <f t="shared" ref="C108:J108" si="37">SUM(C107+C99+C105+C80+C92)</f>
        <v>320.64670000000001</v>
      </c>
      <c r="D108" s="214">
        <f t="shared" si="37"/>
        <v>100.55420000000001</v>
      </c>
      <c r="E108" s="167">
        <f t="shared" si="37"/>
        <v>421.20089999999999</v>
      </c>
      <c r="F108" s="167">
        <f t="shared" si="37"/>
        <v>166.95699999999999</v>
      </c>
      <c r="G108" s="167">
        <f>SUM(G107+G99+G105+G80+G92)</f>
        <v>588.15789999999993</v>
      </c>
      <c r="H108" s="161">
        <f>SUM(H99+H107+H80+H92)</f>
        <v>315.47570000000002</v>
      </c>
      <c r="I108" s="161">
        <f>SUM(I107+I99+I105+I80+I92)</f>
        <v>903.63360000000011</v>
      </c>
      <c r="J108" s="29">
        <f t="shared" si="37"/>
        <v>211384.29940000002</v>
      </c>
      <c r="K108" s="195">
        <f>(J108-J107-J105)/(I108-I107)</f>
        <v>234.98043264298093</v>
      </c>
      <c r="L108" s="16">
        <f>L107+L99+L105+L80+L92</f>
        <v>668</v>
      </c>
      <c r="M108" s="229">
        <f>I108-I107</f>
        <v>890.64660000000015</v>
      </c>
    </row>
    <row r="109" spans="1:14" s="17" customFormat="1" ht="11.5">
      <c r="A109" s="20"/>
      <c r="B109" s="20"/>
      <c r="C109" s="215"/>
      <c r="D109" s="215"/>
      <c r="E109" s="168">
        <v>416.96</v>
      </c>
      <c r="F109" s="168">
        <v>164.00800000000001</v>
      </c>
      <c r="G109" s="168">
        <f>E108+F109</f>
        <v>585.20889999999997</v>
      </c>
      <c r="H109" s="168">
        <v>307.096</v>
      </c>
      <c r="I109" s="298"/>
      <c r="J109" s="29"/>
      <c r="K109" s="195"/>
      <c r="L109" s="21"/>
    </row>
    <row r="110" spans="1:14" s="17" customFormat="1" ht="17.25" customHeight="1">
      <c r="A110" s="123" t="s">
        <v>100</v>
      </c>
      <c r="B110" s="123"/>
      <c r="C110" s="216">
        <f t="shared" ref="C110" si="38">C108+C70+C56+C44+C33+C23</f>
        <v>721.02689999999996</v>
      </c>
      <c r="D110" s="216">
        <f>D108+D70+D56+D44+D33+D23</f>
        <v>266.22019999999998</v>
      </c>
      <c r="E110" s="169">
        <f>E108+E70+E56+E44+E33+E23</f>
        <v>987.24710000000005</v>
      </c>
      <c r="F110" s="169">
        <f>F23+F33+F44+F56+F70+F108</f>
        <v>407.45949999999999</v>
      </c>
      <c r="G110" s="242">
        <f>G108+G70+G56+G44+G33+G23</f>
        <v>1394.7066</v>
      </c>
      <c r="H110" s="299">
        <f>H108+H70+H56+H44+H33+H23</f>
        <v>472.96420000000001</v>
      </c>
      <c r="I110" s="242">
        <f>I108+I70+I56+I44+I33+I23</f>
        <v>1867.6708000000001</v>
      </c>
      <c r="J110" s="124">
        <f>SUM(J23+J33+J44+J56+J70+J80+J92+J99+J105+J107)</f>
        <v>442882.79809999996</v>
      </c>
      <c r="K110" s="196">
        <f>(J110-(J107+J105+J69+J55+J43+J32+J22))/(I110-(I107+I43+I22+I32+I55+I69))</f>
        <v>235.99331171128333</v>
      </c>
      <c r="L110" s="124">
        <f>SUM(L23+L33+L44+L56+L70+L80+L92+L99+L105+L107)</f>
        <v>1749</v>
      </c>
      <c r="M110" s="22"/>
      <c r="N110" s="22"/>
    </row>
    <row r="111" spans="1:14" s="17" customFormat="1" ht="11.5">
      <c r="A111" s="20"/>
      <c r="B111" s="20"/>
      <c r="C111" s="20"/>
      <c r="D111" s="20"/>
      <c r="E111" s="236"/>
      <c r="F111" s="170">
        <f>F109-F108</f>
        <v>-2.9489999999999839</v>
      </c>
      <c r="G111" s="170">
        <f>G109-G108</f>
        <v>-2.9489999999999554</v>
      </c>
      <c r="H111" s="170">
        <f>H109-H108</f>
        <v>-8.3797000000000139</v>
      </c>
      <c r="I111" s="285">
        <f>I109-I108</f>
        <v>-903.63360000000011</v>
      </c>
      <c r="J111" s="29"/>
      <c r="K111" s="195"/>
      <c r="L111" s="21"/>
    </row>
    <row r="112" spans="1:14" s="2" customFormat="1" ht="15" customHeight="1">
      <c r="A112" s="1"/>
      <c r="B112" s="1"/>
      <c r="C112" s="1"/>
      <c r="D112" s="1"/>
      <c r="E112" s="147"/>
      <c r="F112" s="147"/>
      <c r="G112" s="148"/>
      <c r="H112" s="147"/>
      <c r="I112" s="277"/>
      <c r="J112" s="126"/>
      <c r="K112" s="126"/>
      <c r="L112" s="58"/>
    </row>
    <row r="113" spans="1:13" s="5" customFormat="1" ht="16.75" customHeight="1">
      <c r="A113" s="3" t="s">
        <v>0</v>
      </c>
      <c r="B113" s="3"/>
      <c r="C113" s="3"/>
      <c r="D113" s="3"/>
      <c r="E113" s="149"/>
      <c r="F113" s="149"/>
      <c r="G113" s="150"/>
      <c r="H113" s="149"/>
      <c r="I113" s="278"/>
      <c r="J113" s="127"/>
      <c r="K113" s="127"/>
      <c r="L113" s="59"/>
      <c r="M113" s="4"/>
    </row>
    <row r="114" spans="1:13" s="4" customFormat="1" ht="12" customHeight="1">
      <c r="A114" s="6" t="s">
        <v>119</v>
      </c>
      <c r="B114" s="6"/>
      <c r="C114" s="6"/>
      <c r="D114" s="6"/>
      <c r="E114" s="151"/>
      <c r="F114" s="151"/>
      <c r="G114" s="151"/>
      <c r="H114" s="151"/>
      <c r="I114" s="279"/>
      <c r="J114" s="128"/>
      <c r="K114" s="190"/>
      <c r="L114" s="60"/>
    </row>
    <row r="115" spans="1:13" s="4" customFormat="1" ht="22.5" customHeight="1">
      <c r="A115" s="6"/>
      <c r="B115" s="6"/>
      <c r="C115" s="6"/>
      <c r="D115" s="6"/>
      <c r="E115" s="151"/>
      <c r="F115" s="151"/>
      <c r="G115" s="151"/>
      <c r="H115" s="151"/>
      <c r="I115" s="279"/>
      <c r="J115" s="128"/>
      <c r="K115" s="190"/>
      <c r="L115" s="60"/>
    </row>
    <row r="116" spans="1:13" s="8" customFormat="1" ht="13.5">
      <c r="A116" s="7"/>
      <c r="B116" s="7"/>
      <c r="C116" s="307" t="s">
        <v>129</v>
      </c>
      <c r="D116" s="307"/>
      <c r="E116" s="307"/>
      <c r="F116" s="307"/>
      <c r="G116" s="307"/>
      <c r="H116" s="307"/>
      <c r="I116" s="307"/>
      <c r="J116" s="129"/>
      <c r="K116" s="191"/>
      <c r="L116" s="44"/>
    </row>
    <row r="117" spans="1:13" s="8" customFormat="1" ht="25">
      <c r="A117" s="238" t="s">
        <v>124</v>
      </c>
      <c r="B117" s="9"/>
      <c r="C117" s="211" t="s">
        <v>122</v>
      </c>
      <c r="D117" s="237" t="s">
        <v>123</v>
      </c>
      <c r="E117" s="152" t="s">
        <v>6</v>
      </c>
      <c r="F117" s="152" t="s">
        <v>115</v>
      </c>
      <c r="G117" s="153" t="s">
        <v>111</v>
      </c>
      <c r="H117" s="153" t="s">
        <v>112</v>
      </c>
      <c r="I117" s="280" t="s">
        <v>110</v>
      </c>
      <c r="J117" s="130" t="s">
        <v>10</v>
      </c>
      <c r="K117" s="239" t="s">
        <v>125</v>
      </c>
      <c r="L117" s="240" t="s">
        <v>126</v>
      </c>
    </row>
    <row r="118" spans="1:13" s="8" customFormat="1" ht="4.5" customHeight="1">
      <c r="A118" s="43"/>
      <c r="B118" s="43"/>
      <c r="C118" s="43"/>
      <c r="D118" s="43"/>
      <c r="E118" s="171"/>
      <c r="F118" s="171"/>
      <c r="G118" s="172"/>
      <c r="H118" s="172"/>
      <c r="I118" s="286"/>
      <c r="J118" s="129"/>
      <c r="K118" s="129"/>
      <c r="L118" s="57"/>
    </row>
    <row r="119" spans="1:13" s="8" customFormat="1" ht="13.5">
      <c r="A119" s="46" t="s">
        <v>102</v>
      </c>
      <c r="B119" s="43"/>
      <c r="C119" s="43"/>
      <c r="D119" s="43"/>
      <c r="E119" s="171"/>
      <c r="F119" s="171"/>
      <c r="G119" s="172"/>
      <c r="H119" s="172"/>
      <c r="I119" s="286"/>
      <c r="J119" s="129"/>
      <c r="K119" s="129"/>
      <c r="L119" s="57"/>
    </row>
    <row r="120" spans="1:13" s="8" customFormat="1" ht="6.75" customHeight="1">
      <c r="A120" s="43"/>
      <c r="B120" s="43"/>
      <c r="C120" s="43"/>
      <c r="D120" s="43"/>
      <c r="E120" s="171"/>
      <c r="F120" s="171"/>
      <c r="G120" s="172"/>
      <c r="H120" s="172"/>
      <c r="I120" s="286"/>
      <c r="J120" s="129"/>
      <c r="K120" s="129"/>
      <c r="L120" s="57"/>
    </row>
    <row r="121" spans="1:13" s="11" customFormat="1" ht="11.5">
      <c r="A121" s="20" t="s">
        <v>78</v>
      </c>
      <c r="B121" s="20"/>
      <c r="C121" s="20"/>
      <c r="D121" s="20"/>
      <c r="E121" s="157"/>
      <c r="F121" s="157"/>
      <c r="G121" s="157"/>
      <c r="H121" s="157"/>
      <c r="I121" s="282"/>
      <c r="J121" s="133"/>
      <c r="K121" s="133"/>
      <c r="L121" s="63"/>
    </row>
    <row r="122" spans="1:13" s="81" customFormat="1" ht="13.15" customHeight="1">
      <c r="A122" s="82" t="s">
        <v>79</v>
      </c>
      <c r="B122" s="82"/>
      <c r="C122" s="201">
        <v>12.1388</v>
      </c>
      <c r="D122" s="201">
        <v>5</v>
      </c>
      <c r="E122" s="251">
        <f t="shared" ref="E122:E127" si="39">C122+D122</f>
        <v>17.1388</v>
      </c>
      <c r="F122" s="251">
        <v>2.3751000000000002</v>
      </c>
      <c r="G122" s="251">
        <f t="shared" ref="G122:G128" si="40">E122+F122</f>
        <v>19.5139</v>
      </c>
      <c r="H122" s="251">
        <v>2</v>
      </c>
      <c r="I122" s="156">
        <f t="shared" ref="I122:I127" si="41">G122+H122</f>
        <v>21.5139</v>
      </c>
      <c r="J122" s="132">
        <v>3168.1837</v>
      </c>
      <c r="K122" s="132">
        <f>J122/(G122+H122)</f>
        <v>147.26217468706278</v>
      </c>
      <c r="L122" s="83">
        <v>25</v>
      </c>
    </row>
    <row r="123" spans="1:13" s="81" customFormat="1" ht="13.15" customHeight="1">
      <c r="A123" s="84" t="s">
        <v>80</v>
      </c>
      <c r="B123" s="84"/>
      <c r="C123" s="202">
        <v>11.8238</v>
      </c>
      <c r="D123" s="202">
        <v>11.9674</v>
      </c>
      <c r="E123" s="252">
        <f t="shared" si="39"/>
        <v>23.7912</v>
      </c>
      <c r="F123" s="252">
        <v>12.860799999999999</v>
      </c>
      <c r="G123" s="252">
        <f t="shared" si="40"/>
        <v>36.652000000000001</v>
      </c>
      <c r="H123" s="252"/>
      <c r="I123" s="157">
        <f t="shared" si="41"/>
        <v>36.652000000000001</v>
      </c>
      <c r="J123" s="133">
        <v>4737.0016999999998</v>
      </c>
      <c r="K123" s="133">
        <f>J123/(G123+H123)</f>
        <v>129.24265251555167</v>
      </c>
      <c r="L123" s="12">
        <v>46</v>
      </c>
    </row>
    <row r="124" spans="1:13" s="81" customFormat="1" ht="13.15" customHeight="1">
      <c r="A124" s="82" t="s">
        <v>81</v>
      </c>
      <c r="B124" s="82"/>
      <c r="C124" s="201">
        <v>13.872999999999999</v>
      </c>
      <c r="D124" s="201">
        <v>6.7184999999999997</v>
      </c>
      <c r="E124" s="251">
        <f t="shared" si="39"/>
        <v>20.5915</v>
      </c>
      <c r="F124" s="251">
        <v>5.5526999999999997</v>
      </c>
      <c r="G124" s="251">
        <f t="shared" si="40"/>
        <v>26.144199999999998</v>
      </c>
      <c r="H124" s="251"/>
      <c r="I124" s="156">
        <f t="shared" si="41"/>
        <v>26.144199999999998</v>
      </c>
      <c r="J124" s="132">
        <v>1729</v>
      </c>
      <c r="K124" s="132">
        <f>J124/(G124+H124)</f>
        <v>66.133215015185016</v>
      </c>
      <c r="L124" s="83">
        <v>52</v>
      </c>
    </row>
    <row r="125" spans="1:13" s="81" customFormat="1" ht="13.15" customHeight="1">
      <c r="A125" s="84" t="s">
        <v>82</v>
      </c>
      <c r="B125" s="84"/>
      <c r="C125" s="202">
        <v>12.225899999999999</v>
      </c>
      <c r="D125" s="202">
        <v>1.91</v>
      </c>
      <c r="E125" s="252">
        <f t="shared" si="39"/>
        <v>14.135899999999999</v>
      </c>
      <c r="F125" s="252"/>
      <c r="G125" s="252">
        <f t="shared" si="40"/>
        <v>14.135899999999999</v>
      </c>
      <c r="H125" s="252">
        <v>0.5</v>
      </c>
      <c r="I125" s="157">
        <f t="shared" si="41"/>
        <v>14.635899999999999</v>
      </c>
      <c r="J125" s="133">
        <v>1319.1080000000002</v>
      </c>
      <c r="K125" s="133">
        <f>J125/(G125+H125)</f>
        <v>90.128246298485251</v>
      </c>
      <c r="L125" s="12">
        <v>17</v>
      </c>
    </row>
    <row r="126" spans="1:13" s="81" customFormat="1" ht="13.15" customHeight="1">
      <c r="A126" s="82" t="s">
        <v>83</v>
      </c>
      <c r="B126" s="82"/>
      <c r="C126" s="201">
        <v>6.7728000000000002</v>
      </c>
      <c r="D126" s="201">
        <v>6</v>
      </c>
      <c r="E126" s="251">
        <f t="shared" si="39"/>
        <v>12.7728</v>
      </c>
      <c r="F126" s="251">
        <v>0.71709999999999996</v>
      </c>
      <c r="G126" s="251">
        <f t="shared" si="40"/>
        <v>13.4899</v>
      </c>
      <c r="H126" s="251"/>
      <c r="I126" s="156">
        <f t="shared" si="41"/>
        <v>13.4899</v>
      </c>
      <c r="J126" s="132">
        <v>1444.96</v>
      </c>
      <c r="K126" s="132">
        <f>J126/(G126+H126)</f>
        <v>107.11421137295309</v>
      </c>
      <c r="L126" s="83">
        <v>14</v>
      </c>
    </row>
    <row r="127" spans="1:13" s="122" customFormat="1" ht="13.15" customHeight="1">
      <c r="A127" s="13" t="s">
        <v>84</v>
      </c>
      <c r="B127" s="13"/>
      <c r="C127" s="212">
        <v>0.91449999999999998</v>
      </c>
      <c r="D127" s="212"/>
      <c r="E127" s="243">
        <f t="shared" si="39"/>
        <v>0.91449999999999998</v>
      </c>
      <c r="F127" s="243"/>
      <c r="G127" s="243">
        <f t="shared" si="40"/>
        <v>0.91449999999999998</v>
      </c>
      <c r="H127" s="243"/>
      <c r="I127" s="294">
        <f t="shared" si="41"/>
        <v>0.91449999999999998</v>
      </c>
      <c r="J127" s="137">
        <v>41.0595</v>
      </c>
      <c r="K127" s="137"/>
      <c r="L127" s="14"/>
    </row>
    <row r="128" spans="1:13" s="22" customFormat="1" ht="15" customHeight="1">
      <c r="A128" s="23" t="s">
        <v>101</v>
      </c>
      <c r="B128" s="23"/>
      <c r="C128" s="213">
        <f t="shared" ref="C128:D128" si="42">SUM(C122:C127)</f>
        <v>57.748799999999996</v>
      </c>
      <c r="D128" s="213">
        <f t="shared" si="42"/>
        <v>31.595899999999997</v>
      </c>
      <c r="E128" s="244">
        <f>SUM(E122:E127)</f>
        <v>89.344700000000003</v>
      </c>
      <c r="F128" s="160">
        <f>SUM(F122:F127)</f>
        <v>21.505699999999997</v>
      </c>
      <c r="G128" s="247">
        <f t="shared" si="40"/>
        <v>110.85040000000001</v>
      </c>
      <c r="H128" s="161">
        <f>SUM(H122:H127)</f>
        <v>2.5</v>
      </c>
      <c r="I128" s="160">
        <f>SUM(I122:I127)</f>
        <v>113.35040000000001</v>
      </c>
      <c r="J128" s="138">
        <f>SUM(J122:J127)</f>
        <v>12439.312900000001</v>
      </c>
      <c r="K128" s="138">
        <f>(J128-J127)/(I128-I127)</f>
        <v>110.26952601437797</v>
      </c>
      <c r="L128" s="21">
        <f>SUM(L122:L127)</f>
        <v>154</v>
      </c>
      <c r="M128" s="227">
        <f>I128</f>
        <v>113.35040000000001</v>
      </c>
    </row>
    <row r="129" spans="1:13" ht="12.75" customHeight="1">
      <c r="E129" s="245"/>
      <c r="G129" s="248"/>
      <c r="I129" s="188"/>
      <c r="J129" s="126"/>
    </row>
    <row r="130" spans="1:13" s="33" customFormat="1" ht="11.5" outlineLevel="1">
      <c r="A130" s="52" t="s">
        <v>85</v>
      </c>
      <c r="B130" s="52"/>
      <c r="C130" s="52">
        <v>7.65</v>
      </c>
      <c r="D130" s="52"/>
      <c r="E130" s="245">
        <f>C130+D130</f>
        <v>7.65</v>
      </c>
      <c r="F130" s="173"/>
      <c r="G130" s="249">
        <f>F130+E130</f>
        <v>7.65</v>
      </c>
      <c r="H130" s="233">
        <v>0</v>
      </c>
      <c r="I130" s="173">
        <f>G130+H130</f>
        <v>7.65</v>
      </c>
      <c r="J130" s="189">
        <v>4063</v>
      </c>
      <c r="K130" s="189"/>
      <c r="L130" s="146">
        <v>8</v>
      </c>
    </row>
    <row r="131" spans="1:13" s="17" customFormat="1" ht="24" customHeight="1">
      <c r="A131" s="305" t="s">
        <v>86</v>
      </c>
      <c r="B131" s="305"/>
      <c r="C131" s="234">
        <v>0</v>
      </c>
      <c r="D131" s="235">
        <v>0</v>
      </c>
      <c r="E131" s="297">
        <v>0</v>
      </c>
      <c r="F131" s="168">
        <v>0</v>
      </c>
      <c r="G131" s="250">
        <f>F131+E131</f>
        <v>0</v>
      </c>
      <c r="H131" s="161">
        <f>3+0.5+2.25+3.7344+2</f>
        <v>11.484400000000001</v>
      </c>
      <c r="I131" s="161">
        <f>G131+H131</f>
        <v>11.484400000000001</v>
      </c>
      <c r="J131" s="29">
        <v>717</v>
      </c>
      <c r="K131" s="29"/>
      <c r="L131" s="68"/>
    </row>
    <row r="132" spans="1:13" s="34" customFormat="1" ht="3" customHeight="1">
      <c r="A132" s="48"/>
      <c r="B132" s="49"/>
      <c r="C132" s="49"/>
      <c r="D132" s="49"/>
      <c r="E132" s="246"/>
      <c r="F132" s="174"/>
      <c r="G132" s="175"/>
      <c r="H132" s="174"/>
      <c r="I132" s="174"/>
      <c r="J132" s="50"/>
      <c r="K132" s="50"/>
      <c r="L132" s="50"/>
    </row>
    <row r="133" spans="1:13" s="33" customFormat="1" ht="17.25" customHeight="1">
      <c r="A133" s="53" t="s">
        <v>113</v>
      </c>
      <c r="B133" s="53"/>
      <c r="C133" s="176">
        <f>C110+C128+C130+C131</f>
        <v>786.42569999999989</v>
      </c>
      <c r="D133" s="176">
        <f>D110+D128+D130+D131</f>
        <v>297.81609999999995</v>
      </c>
      <c r="E133" s="176">
        <f>E110+E128+E130+E131</f>
        <v>1084.2418000000002</v>
      </c>
      <c r="F133" s="176">
        <f t="shared" ref="F133" si="43">F110+F128+F130+F131</f>
        <v>428.96519999999998</v>
      </c>
      <c r="G133" s="241">
        <f>G110+G128+G130+G131</f>
        <v>1513.2070000000001</v>
      </c>
      <c r="H133" s="176">
        <f>H110+H128+H130+H131</f>
        <v>486.9486</v>
      </c>
      <c r="I133" s="176">
        <f>I110+I128+I130+I131</f>
        <v>2000.1556000000003</v>
      </c>
      <c r="J133" s="142">
        <f>J110+J128+J130+J131</f>
        <v>460102.11099999998</v>
      </c>
      <c r="K133" s="197"/>
      <c r="L133" s="54">
        <f>SUM(L110+L130+L131+L128)</f>
        <v>1911</v>
      </c>
      <c r="M133" s="55"/>
    </row>
    <row r="134" spans="1:13" s="17" customFormat="1" ht="11.5">
      <c r="A134" s="20"/>
      <c r="B134" s="20"/>
      <c r="C134" s="20"/>
      <c r="D134" s="20"/>
      <c r="E134" s="217"/>
      <c r="F134" s="177">
        <v>412.64800000000002</v>
      </c>
      <c r="G134" s="177">
        <v>1524.2139999999999</v>
      </c>
      <c r="H134" s="177">
        <v>479.315</v>
      </c>
      <c r="I134" s="267"/>
      <c r="J134" s="144">
        <v>483383.66</v>
      </c>
      <c r="K134" s="195"/>
      <c r="L134" s="21"/>
      <c r="M134" s="29"/>
    </row>
    <row r="135" spans="1:13" s="32" customFormat="1" ht="9">
      <c r="A135" s="30"/>
      <c r="B135" s="30"/>
      <c r="C135" s="30"/>
      <c r="D135" s="30"/>
      <c r="E135" s="218"/>
      <c r="F135" s="178">
        <f t="shared" ref="F135:J135" si="44">F134-F133</f>
        <v>-16.317199999999957</v>
      </c>
      <c r="G135" s="178">
        <f t="shared" si="44"/>
        <v>11.006999999999834</v>
      </c>
      <c r="H135" s="178">
        <f t="shared" si="44"/>
        <v>-7.6336000000000013</v>
      </c>
      <c r="I135" s="218"/>
      <c r="J135" s="145">
        <f t="shared" si="44"/>
        <v>23281.548999999999</v>
      </c>
      <c r="K135" s="31"/>
      <c r="L135" s="31"/>
    </row>
    <row r="136" spans="1:13" s="28" customFormat="1" ht="13.5">
      <c r="A136" s="47" t="s">
        <v>88</v>
      </c>
      <c r="B136" s="20"/>
      <c r="C136" s="20"/>
      <c r="D136" s="20"/>
      <c r="E136" s="166"/>
      <c r="F136" s="166"/>
      <c r="G136" s="157"/>
      <c r="H136" s="166"/>
      <c r="I136" s="166"/>
      <c r="J136" s="141"/>
      <c r="K136" s="141"/>
      <c r="L136" s="66"/>
    </row>
    <row r="137" spans="1:13" s="28" customFormat="1" ht="6.75" customHeight="1">
      <c r="A137" s="47"/>
      <c r="B137" s="20"/>
      <c r="C137" s="20"/>
      <c r="D137" s="20"/>
      <c r="E137" s="166"/>
      <c r="F137" s="166"/>
      <c r="G137" s="157"/>
      <c r="H137" s="166"/>
      <c r="I137" s="166"/>
      <c r="J137" s="141"/>
      <c r="K137" s="141"/>
      <c r="L137" s="66"/>
    </row>
    <row r="138" spans="1:13" s="56" customFormat="1" ht="13.15" customHeight="1">
      <c r="A138" s="72" t="s">
        <v>13</v>
      </c>
      <c r="B138" s="73"/>
      <c r="C138" s="179">
        <f t="shared" ref="C138:D138" si="45">C8+C48</f>
        <v>10.722200000000001</v>
      </c>
      <c r="D138" s="179">
        <f t="shared" si="45"/>
        <v>3.35</v>
      </c>
      <c r="E138" s="179">
        <f>E8+E48</f>
        <v>14.0722</v>
      </c>
      <c r="F138" s="179">
        <f>F8+F48</f>
        <v>9.4550000000000001</v>
      </c>
      <c r="G138" s="179">
        <f>F138+E138</f>
        <v>23.527200000000001</v>
      </c>
      <c r="H138" s="179">
        <f>H8+H48</f>
        <v>1.5081</v>
      </c>
      <c r="I138" s="179">
        <f>G138+H138</f>
        <v>25.035299999999999</v>
      </c>
      <c r="J138" s="74">
        <f>J8+J48</f>
        <v>7880.3487999999998</v>
      </c>
      <c r="K138" s="74">
        <f t="shared" ref="K138:K141" si="46">J138/I138</f>
        <v>314.76949746957297</v>
      </c>
      <c r="L138" s="74">
        <f>L8+L48</f>
        <v>41</v>
      </c>
    </row>
    <row r="139" spans="1:13" s="56" customFormat="1" ht="13.15" customHeight="1">
      <c r="A139" s="75" t="s">
        <v>17</v>
      </c>
      <c r="B139" s="76"/>
      <c r="C139" s="180">
        <f t="shared" ref="C139:D139" si="47">C12+C83</f>
        <v>17.099899999999998</v>
      </c>
      <c r="D139" s="180">
        <f t="shared" si="47"/>
        <v>3</v>
      </c>
      <c r="E139" s="180">
        <f>E12+E83</f>
        <v>20.099899999999998</v>
      </c>
      <c r="F139" s="180">
        <f>F12+F83</f>
        <v>0</v>
      </c>
      <c r="G139" s="180">
        <f>F139+E139</f>
        <v>20.099899999999998</v>
      </c>
      <c r="H139" s="180">
        <f>H12+H83</f>
        <v>0.75</v>
      </c>
      <c r="I139" s="180">
        <f>G139+H139</f>
        <v>20.849899999999998</v>
      </c>
      <c r="J139" s="77">
        <f>J12+J83</f>
        <v>4009.6784000000002</v>
      </c>
      <c r="K139" s="77">
        <f>J139/I139</f>
        <v>192.31163698626855</v>
      </c>
      <c r="L139" s="77">
        <f>L12+L83</f>
        <v>26</v>
      </c>
    </row>
    <row r="140" spans="1:13" s="56" customFormat="1" ht="13.15" customHeight="1">
      <c r="A140" s="72" t="s">
        <v>18</v>
      </c>
      <c r="B140" s="73"/>
      <c r="C140" s="179">
        <f t="shared" ref="C140:D140" si="48">C13+C86</f>
        <v>16.101700000000001</v>
      </c>
      <c r="D140" s="179">
        <f t="shared" si="48"/>
        <v>4.3</v>
      </c>
      <c r="E140" s="179">
        <f>E13+E86</f>
        <v>20.401699999999998</v>
      </c>
      <c r="F140" s="179">
        <f>F13+F86</f>
        <v>4.375</v>
      </c>
      <c r="G140" s="179">
        <f t="shared" ref="G140:G144" si="49">F140+E140</f>
        <v>24.776699999999998</v>
      </c>
      <c r="H140" s="179">
        <f>H13+H86</f>
        <v>9.4880999999999993</v>
      </c>
      <c r="I140" s="179">
        <f t="shared" ref="I140:I144" si="50">G140+H140</f>
        <v>34.264799999999994</v>
      </c>
      <c r="J140" s="74">
        <f>J13+J86</f>
        <v>8436.063900000001</v>
      </c>
      <c r="K140" s="74">
        <f t="shared" si="46"/>
        <v>246.20204699866926</v>
      </c>
      <c r="L140" s="74">
        <f>L13+L86</f>
        <v>28</v>
      </c>
    </row>
    <row r="141" spans="1:13" s="56" customFormat="1" ht="13.15" customHeight="1">
      <c r="A141" s="78" t="s">
        <v>19</v>
      </c>
      <c r="B141" s="79"/>
      <c r="C141" s="181">
        <f t="shared" ref="C141:D141" si="51">C14+C95</f>
        <v>15.0754</v>
      </c>
      <c r="D141" s="181">
        <f t="shared" si="51"/>
        <v>6.7545999999999999</v>
      </c>
      <c r="E141" s="181">
        <f>E14+E95</f>
        <v>21.83</v>
      </c>
      <c r="F141" s="181">
        <f>F14+F95</f>
        <v>5.6214000000000004</v>
      </c>
      <c r="G141" s="180">
        <f t="shared" si="49"/>
        <v>27.4514</v>
      </c>
      <c r="H141" s="181">
        <f>H14+H95</f>
        <v>23.5</v>
      </c>
      <c r="I141" s="181">
        <f t="shared" si="50"/>
        <v>50.9514</v>
      </c>
      <c r="J141" s="80">
        <f>J14+J95</f>
        <v>13889.5</v>
      </c>
      <c r="K141" s="80">
        <f t="shared" si="46"/>
        <v>272.60291179437661</v>
      </c>
      <c r="L141" s="80">
        <f>L14+L95</f>
        <v>47</v>
      </c>
    </row>
    <row r="142" spans="1:13" s="56" customFormat="1" ht="13.15" customHeight="1">
      <c r="A142" s="72" t="s">
        <v>21</v>
      </c>
      <c r="B142" s="73"/>
      <c r="C142" s="179">
        <f t="shared" ref="C142:D142" si="52">C16+C65</f>
        <v>10.637</v>
      </c>
      <c r="D142" s="179">
        <f t="shared" si="52"/>
        <v>6.3026</v>
      </c>
      <c r="E142" s="179">
        <f>E16+E65</f>
        <v>16.939599999999999</v>
      </c>
      <c r="F142" s="179">
        <f>F16+F65</f>
        <v>17.149999999999999</v>
      </c>
      <c r="G142" s="179">
        <f t="shared" si="49"/>
        <v>34.089599999999997</v>
      </c>
      <c r="H142" s="179">
        <f>H16+H65</f>
        <v>0.25</v>
      </c>
      <c r="I142" s="179">
        <f t="shared" si="50"/>
        <v>34.339599999999997</v>
      </c>
      <c r="J142" s="74">
        <f>J16+J65</f>
        <v>8183.74</v>
      </c>
      <c r="K142" s="74">
        <f>J142/I142</f>
        <v>238.31786042935855</v>
      </c>
      <c r="L142" s="74">
        <f>L16+L65</f>
        <v>50</v>
      </c>
    </row>
    <row r="143" spans="1:13" s="56" customFormat="1" ht="13.15" customHeight="1">
      <c r="A143" s="78" t="s">
        <v>22</v>
      </c>
      <c r="B143" s="79"/>
      <c r="C143" s="181">
        <f t="shared" ref="C143:D143" si="53">C17+C87</f>
        <v>12.7905</v>
      </c>
      <c r="D143" s="181">
        <f t="shared" si="53"/>
        <v>4.6333000000000002</v>
      </c>
      <c r="E143" s="181">
        <f>E17+E87</f>
        <v>17.4238</v>
      </c>
      <c r="F143" s="181">
        <f>F17+F87</f>
        <v>8</v>
      </c>
      <c r="G143" s="181">
        <f t="shared" si="49"/>
        <v>25.4238</v>
      </c>
      <c r="H143" s="181">
        <f>H17+H87</f>
        <v>10.875</v>
      </c>
      <c r="I143" s="181">
        <f t="shared" si="50"/>
        <v>36.2988</v>
      </c>
      <c r="J143" s="80">
        <f>J17+J87</f>
        <v>7471.7469000000001</v>
      </c>
      <c r="K143" s="80">
        <f t="shared" ref="K143:K144" si="54">J143/I143</f>
        <v>205.84005256372112</v>
      </c>
      <c r="L143" s="80">
        <f>L17+L87</f>
        <v>33</v>
      </c>
    </row>
    <row r="144" spans="1:13" s="56" customFormat="1" ht="13.15" customHeight="1">
      <c r="A144" s="72" t="s">
        <v>26</v>
      </c>
      <c r="B144" s="73"/>
      <c r="C144" s="179">
        <f t="shared" ref="C144:D144" si="55">C21+C98</f>
        <v>13.069599999999999</v>
      </c>
      <c r="D144" s="179">
        <f t="shared" si="55"/>
        <v>2.5</v>
      </c>
      <c r="E144" s="179">
        <f>E21+E98</f>
        <v>15.569599999999999</v>
      </c>
      <c r="F144" s="179">
        <f>F21+F98</f>
        <v>4.625</v>
      </c>
      <c r="G144" s="179">
        <f t="shared" si="49"/>
        <v>20.194600000000001</v>
      </c>
      <c r="H144" s="179">
        <f>H21+H98</f>
        <v>5.3341000000000003</v>
      </c>
      <c r="I144" s="179">
        <f t="shared" si="50"/>
        <v>25.528700000000001</v>
      </c>
      <c r="J144" s="74">
        <f>J21+J98</f>
        <v>10739.7</v>
      </c>
      <c r="K144" s="74">
        <f t="shared" si="54"/>
        <v>420.69122203637477</v>
      </c>
      <c r="L144" s="74">
        <f>L21+L98</f>
        <v>29</v>
      </c>
    </row>
    <row r="145" spans="1:13" s="32" customFormat="1" ht="11.5">
      <c r="A145" s="51"/>
      <c r="B145" s="30"/>
      <c r="C145" s="30"/>
      <c r="D145" s="30"/>
      <c r="E145" s="182"/>
      <c r="F145" s="182"/>
      <c r="G145" s="182"/>
      <c r="H145" s="182"/>
      <c r="I145" s="287"/>
      <c r="J145" s="273"/>
      <c r="K145" s="31"/>
      <c r="L145" s="31"/>
    </row>
    <row r="146" spans="1:13" s="35" customFormat="1" ht="91.5" customHeight="1">
      <c r="A146" s="308" t="s">
        <v>120</v>
      </c>
      <c r="B146" s="308"/>
      <c r="C146" s="308"/>
      <c r="D146" s="308"/>
      <c r="E146" s="308"/>
      <c r="F146" s="308"/>
      <c r="G146" s="308"/>
      <c r="H146" s="308"/>
      <c r="I146" s="308"/>
      <c r="J146" s="308"/>
      <c r="K146" s="308"/>
      <c r="L146" s="308"/>
    </row>
    <row r="147" spans="1:13" s="36" customFormat="1" ht="30" customHeight="1">
      <c r="A147" s="302" t="s">
        <v>131</v>
      </c>
      <c r="B147" s="302"/>
      <c r="C147" s="302"/>
      <c r="D147" s="302"/>
      <c r="E147" s="302"/>
      <c r="F147" s="302"/>
      <c r="G147" s="302"/>
      <c r="H147" s="302"/>
      <c r="I147" s="302"/>
      <c r="J147" s="302"/>
      <c r="K147" s="302"/>
      <c r="L147" s="302"/>
    </row>
    <row r="148" spans="1:13" s="36" customFormat="1" ht="39.75" customHeight="1">
      <c r="A148" s="302" t="s">
        <v>121</v>
      </c>
      <c r="B148" s="302"/>
      <c r="C148" s="302"/>
      <c r="D148" s="302"/>
      <c r="E148" s="302"/>
      <c r="F148" s="302"/>
      <c r="G148" s="302"/>
      <c r="H148" s="302"/>
      <c r="I148" s="302"/>
      <c r="J148" s="302"/>
      <c r="K148" s="302"/>
      <c r="L148" s="302"/>
    </row>
    <row r="149" spans="1:13" s="36" customFormat="1" ht="39.75" customHeight="1">
      <c r="A149" s="302" t="s">
        <v>103</v>
      </c>
      <c r="B149" s="302"/>
      <c r="C149" s="302"/>
      <c r="D149" s="302"/>
      <c r="E149" s="302"/>
      <c r="F149" s="302"/>
      <c r="G149" s="302"/>
      <c r="H149" s="302"/>
      <c r="I149" s="302"/>
      <c r="J149" s="302"/>
      <c r="K149" s="302"/>
      <c r="L149" s="302"/>
    </row>
    <row r="150" spans="1:13" s="36" customFormat="1" ht="39" customHeight="1">
      <c r="A150" s="302" t="s">
        <v>114</v>
      </c>
      <c r="B150" s="302"/>
      <c r="C150" s="302"/>
      <c r="D150" s="302"/>
      <c r="E150" s="302"/>
      <c r="F150" s="302"/>
      <c r="G150" s="302"/>
      <c r="H150" s="302"/>
      <c r="I150" s="302"/>
      <c r="J150" s="302"/>
      <c r="K150" s="302"/>
      <c r="L150" s="302"/>
    </row>
    <row r="151" spans="1:13" s="36" customFormat="1" ht="15" customHeight="1">
      <c r="A151" s="302" t="s">
        <v>107</v>
      </c>
      <c r="B151" s="302"/>
      <c r="C151" s="302"/>
      <c r="D151" s="302"/>
      <c r="E151" s="302"/>
      <c r="F151" s="302"/>
      <c r="G151" s="302"/>
      <c r="H151" s="302"/>
      <c r="I151" s="302"/>
      <c r="J151" s="302"/>
      <c r="K151" s="302"/>
      <c r="L151" s="302"/>
    </row>
    <row r="152" spans="1:13" s="36" customFormat="1" ht="15" customHeight="1">
      <c r="A152" s="302" t="s">
        <v>108</v>
      </c>
      <c r="B152" s="302"/>
      <c r="C152" s="302"/>
      <c r="D152" s="302"/>
      <c r="E152" s="302"/>
      <c r="F152" s="302"/>
      <c r="G152" s="302"/>
      <c r="H152" s="302"/>
      <c r="I152" s="302"/>
      <c r="J152" s="302"/>
      <c r="K152" s="302"/>
      <c r="L152" s="302"/>
    </row>
    <row r="153" spans="1:13" s="36" customFormat="1" ht="8.25" customHeight="1">
      <c r="A153" s="37"/>
      <c r="B153" s="37"/>
      <c r="C153" s="37"/>
      <c r="D153" s="37"/>
      <c r="E153" s="183"/>
      <c r="F153" s="183"/>
      <c r="G153" s="183"/>
      <c r="H153" s="183"/>
      <c r="I153" s="288"/>
      <c r="J153" s="274"/>
      <c r="K153" s="133"/>
      <c r="L153" s="69"/>
    </row>
    <row r="154" spans="1:13" s="36" customFormat="1" ht="13">
      <c r="A154" s="306" t="s">
        <v>87</v>
      </c>
      <c r="B154" s="306"/>
      <c r="C154" s="306"/>
      <c r="D154" s="306"/>
      <c r="E154" s="306"/>
      <c r="F154" s="184"/>
      <c r="G154" s="184"/>
      <c r="H154" s="184"/>
      <c r="I154" s="289"/>
      <c r="J154" s="275"/>
      <c r="K154" s="198"/>
      <c r="L154" s="70"/>
    </row>
    <row r="155" spans="1:13" s="38" customFormat="1" ht="6.75" customHeight="1">
      <c r="A155" s="39"/>
      <c r="B155" s="39"/>
      <c r="C155" s="39"/>
      <c r="D155" s="39"/>
      <c r="E155" s="185"/>
      <c r="F155" s="185"/>
      <c r="G155" s="186"/>
      <c r="H155" s="185"/>
      <c r="I155" s="290"/>
      <c r="J155" s="276"/>
      <c r="K155" s="143"/>
      <c r="L155" s="71"/>
    </row>
    <row r="156" spans="1:13" s="41" customFormat="1" ht="13">
      <c r="A156" s="306" t="s">
        <v>130</v>
      </c>
      <c r="B156" s="306"/>
      <c r="C156" s="306"/>
      <c r="D156" s="306"/>
      <c r="E156" s="306"/>
      <c r="F156" s="187"/>
      <c r="G156" s="187"/>
      <c r="H156" s="147"/>
      <c r="I156" s="277"/>
      <c r="J156" s="268"/>
      <c r="K156" s="126"/>
      <c r="L156" s="58"/>
      <c r="M156" s="40"/>
    </row>
    <row r="157" spans="1:13" s="2" customFormat="1" ht="12.75" customHeight="1">
      <c r="E157" s="147"/>
      <c r="F157" s="187"/>
      <c r="G157" s="187"/>
      <c r="H157" s="147"/>
      <c r="I157" s="277"/>
      <c r="J157" s="268"/>
      <c r="K157" s="126"/>
      <c r="L157" s="58"/>
    </row>
    <row r="158" spans="1:13" s="2" customFormat="1" ht="12.75" customHeight="1">
      <c r="E158" s="147"/>
      <c r="F158" s="187"/>
      <c r="G158" s="187"/>
      <c r="H158" s="147"/>
      <c r="I158" s="277"/>
      <c r="J158" s="268"/>
      <c r="K158" s="126"/>
      <c r="L158" s="58"/>
    </row>
    <row r="159" spans="1:13" s="2" customFormat="1" ht="12.75" customHeight="1">
      <c r="E159" s="147"/>
      <c r="F159" s="187"/>
      <c r="G159" s="187"/>
      <c r="H159" s="147"/>
      <c r="I159" s="277"/>
      <c r="J159" s="268"/>
      <c r="K159" s="126"/>
      <c r="L159" s="58"/>
    </row>
    <row r="160" spans="1:13" s="2" customFormat="1" ht="12.75" customHeight="1">
      <c r="E160" s="147"/>
      <c r="F160" s="187"/>
      <c r="G160" s="187"/>
      <c r="H160" s="147"/>
      <c r="I160" s="277"/>
      <c r="J160" s="268"/>
      <c r="K160" s="126"/>
      <c r="L160" s="58"/>
    </row>
    <row r="161" spans="5:12" s="2" customFormat="1" ht="12.75" customHeight="1">
      <c r="E161" s="147"/>
      <c r="F161" s="187"/>
      <c r="G161" s="187"/>
      <c r="H161" s="147"/>
      <c r="I161" s="277"/>
      <c r="J161" s="268"/>
      <c r="K161" s="126"/>
      <c r="L161" s="58"/>
    </row>
    <row r="162" spans="5:12" s="2" customFormat="1" ht="12.75" customHeight="1">
      <c r="E162" s="147"/>
      <c r="F162" s="147"/>
      <c r="G162" s="148"/>
      <c r="H162" s="147"/>
      <c r="I162" s="277"/>
      <c r="J162" s="268"/>
      <c r="K162" s="126"/>
      <c r="L162" s="58"/>
    </row>
    <row r="163" spans="5:12" s="2" customFormat="1" ht="12.75" customHeight="1">
      <c r="E163" s="147"/>
      <c r="F163" s="147"/>
      <c r="G163" s="148"/>
      <c r="H163" s="147"/>
      <c r="I163" s="277"/>
      <c r="J163" s="268"/>
      <c r="K163" s="126"/>
      <c r="L163" s="58"/>
    </row>
    <row r="164" spans="5:12" s="2" customFormat="1" ht="12.75" customHeight="1">
      <c r="E164" s="147"/>
      <c r="F164" s="147"/>
      <c r="G164" s="148"/>
      <c r="H164" s="147"/>
      <c r="I164" s="277"/>
      <c r="J164" s="268"/>
      <c r="K164" s="126"/>
      <c r="L164" s="58"/>
    </row>
    <row r="165" spans="5:12" s="2" customFormat="1" ht="12.75" customHeight="1">
      <c r="E165" s="147"/>
      <c r="F165" s="147"/>
      <c r="G165" s="148"/>
      <c r="H165" s="147"/>
      <c r="I165" s="277"/>
      <c r="J165" s="268"/>
      <c r="K165" s="126"/>
      <c r="L165" s="58"/>
    </row>
    <row r="166" spans="5:12" s="2" customFormat="1" ht="12.75" customHeight="1">
      <c r="E166" s="147"/>
      <c r="F166" s="147"/>
      <c r="G166" s="148"/>
      <c r="H166" s="147"/>
      <c r="I166" s="277"/>
      <c r="J166" s="268"/>
      <c r="K166" s="126"/>
      <c r="L166" s="58"/>
    </row>
    <row r="167" spans="5:12" s="2" customFormat="1" ht="12.75" customHeight="1">
      <c r="E167" s="147"/>
      <c r="F167" s="147"/>
      <c r="G167" s="148"/>
      <c r="H167" s="147"/>
      <c r="I167" s="277"/>
      <c r="J167" s="268"/>
      <c r="K167" s="126"/>
      <c r="L167" s="58"/>
    </row>
    <row r="168" spans="5:12" s="2" customFormat="1" ht="12.75" customHeight="1">
      <c r="E168" s="147"/>
      <c r="F168" s="147"/>
      <c r="G168" s="148"/>
      <c r="H168" s="147"/>
      <c r="I168" s="277"/>
      <c r="J168" s="268"/>
      <c r="K168" s="126"/>
      <c r="L168" s="58"/>
    </row>
    <row r="169" spans="5:12" s="2" customFormat="1" ht="12.75" customHeight="1">
      <c r="E169" s="147"/>
      <c r="F169" s="147"/>
      <c r="G169" s="148"/>
      <c r="H169" s="147"/>
      <c r="I169" s="277"/>
      <c r="J169" s="268"/>
      <c r="K169" s="126"/>
      <c r="L169" s="58"/>
    </row>
    <row r="170" spans="5:12" s="2" customFormat="1" ht="12.75" customHeight="1">
      <c r="E170" s="147"/>
      <c r="F170" s="147"/>
      <c r="G170" s="148"/>
      <c r="H170" s="147"/>
      <c r="I170" s="277"/>
      <c r="J170" s="268"/>
      <c r="K170" s="126"/>
      <c r="L170" s="58"/>
    </row>
    <row r="171" spans="5:12" s="2" customFormat="1" ht="12.75" customHeight="1">
      <c r="E171" s="147"/>
      <c r="F171" s="147"/>
      <c r="G171" s="148"/>
      <c r="H171" s="147"/>
      <c r="I171" s="277"/>
      <c r="J171" s="268"/>
      <c r="K171" s="126"/>
      <c r="L171" s="58"/>
    </row>
    <row r="172" spans="5:12" s="2" customFormat="1" ht="12.75" customHeight="1">
      <c r="E172" s="147"/>
      <c r="F172" s="147"/>
      <c r="G172" s="148"/>
      <c r="H172" s="147"/>
      <c r="I172" s="277"/>
      <c r="J172" s="268"/>
      <c r="K172" s="126"/>
      <c r="L172" s="58"/>
    </row>
    <row r="173" spans="5:12" s="2" customFormat="1" ht="12.75" customHeight="1">
      <c r="E173" s="147"/>
      <c r="F173" s="147"/>
      <c r="G173" s="148"/>
      <c r="H173" s="147"/>
      <c r="I173" s="277"/>
      <c r="J173" s="268"/>
      <c r="K173" s="126"/>
      <c r="L173" s="58"/>
    </row>
    <row r="174" spans="5:12" s="2" customFormat="1" ht="12.75" customHeight="1">
      <c r="E174" s="147"/>
      <c r="F174" s="147"/>
      <c r="G174" s="148"/>
      <c r="H174" s="147"/>
      <c r="I174" s="277"/>
      <c r="J174" s="268"/>
      <c r="K174" s="126"/>
      <c r="L174" s="58"/>
    </row>
    <row r="175" spans="5:12" s="2" customFormat="1" ht="12.75" customHeight="1">
      <c r="E175" s="188"/>
      <c r="F175" s="188"/>
      <c r="G175" s="148"/>
      <c r="H175" s="188"/>
      <c r="I175" s="284"/>
      <c r="J175" s="268"/>
      <c r="K175" s="126"/>
      <c r="L175" s="58"/>
    </row>
  </sheetData>
  <mergeCells count="14">
    <mergeCell ref="C5:I5"/>
    <mergeCell ref="C61:I61"/>
    <mergeCell ref="C116:I116"/>
    <mergeCell ref="A146:L146"/>
    <mergeCell ref="A148:L148"/>
    <mergeCell ref="A147:L147"/>
    <mergeCell ref="A151:L151"/>
    <mergeCell ref="A82:H82"/>
    <mergeCell ref="A131:B131"/>
    <mergeCell ref="A154:E154"/>
    <mergeCell ref="A156:E156"/>
    <mergeCell ref="A149:L149"/>
    <mergeCell ref="A150:L150"/>
    <mergeCell ref="A152:L152"/>
  </mergeCells>
  <printOptions horizontalCentered="1" verticalCentered="1"/>
  <pageMargins left="0.4" right="0.4" top="0.34" bottom="0.5" header="0.5" footer="0.4"/>
  <pageSetup scale="95" orientation="portrait" horizontalDpi="4294967293" verticalDpi="4294967293" r:id="rId1"/>
  <headerFooter alignWithMargins="0"/>
  <rowBreaks count="2" manualBreakCount="2">
    <brk id="56" max="11" man="1"/>
    <brk id="11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showGridLines="0" zoomScaleNormal="100" workbookViewId="0">
      <selection activeCell="L15" sqref="L15"/>
    </sheetView>
  </sheetViews>
  <sheetFormatPr defaultColWidth="8.81640625" defaultRowHeight="12.5"/>
  <cols>
    <col min="1" max="10" width="8.81640625" style="114"/>
    <col min="11" max="50" width="9.1796875" customWidth="1"/>
    <col min="51" max="16384" width="8.81640625" style="114"/>
  </cols>
  <sheetData>
    <row r="1" spans="1:50" s="120" customFormat="1" ht="15.5">
      <c r="A1" s="120" t="s">
        <v>104</v>
      </c>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row>
    <row r="4" spans="1:50" s="97" customFormat="1" ht="13.5">
      <c r="A4" s="96" t="s">
        <v>1</v>
      </c>
      <c r="B4" s="96"/>
      <c r="C4" s="309" t="s">
        <v>2</v>
      </c>
      <c r="D4" s="309"/>
      <c r="E4" s="309"/>
      <c r="F4" s="309"/>
      <c r="G4" s="309"/>
      <c r="I4" s="98" t="s">
        <v>3</v>
      </c>
      <c r="J4" s="99" t="s">
        <v>4</v>
      </c>
      <c r="K4"/>
      <c r="L4"/>
      <c r="M4"/>
      <c r="N4"/>
      <c r="O4"/>
      <c r="P4"/>
      <c r="Q4"/>
      <c r="R4"/>
      <c r="S4"/>
      <c r="T4"/>
      <c r="U4"/>
      <c r="V4"/>
      <c r="W4"/>
      <c r="X4"/>
      <c r="Y4"/>
      <c r="Z4"/>
      <c r="AA4"/>
      <c r="AB4"/>
      <c r="AC4"/>
      <c r="AD4"/>
      <c r="AE4"/>
      <c r="AF4"/>
      <c r="AG4"/>
      <c r="AH4"/>
      <c r="AI4"/>
      <c r="AJ4"/>
      <c r="AK4"/>
      <c r="AL4"/>
      <c r="AM4"/>
      <c r="AN4"/>
      <c r="AO4"/>
      <c r="AP4"/>
      <c r="AQ4"/>
      <c r="AR4"/>
      <c r="AS4"/>
      <c r="AT4"/>
      <c r="AU4"/>
      <c r="AV4"/>
      <c r="AW4"/>
      <c r="AX4"/>
    </row>
    <row r="5" spans="1:50" s="97" customFormat="1" ht="13.5">
      <c r="A5" s="100" t="s">
        <v>5</v>
      </c>
      <c r="B5" s="100"/>
      <c r="C5" s="101" t="s">
        <v>6</v>
      </c>
      <c r="D5" s="101" t="s">
        <v>7</v>
      </c>
      <c r="E5" s="102" t="s">
        <v>4</v>
      </c>
      <c r="F5" s="102" t="s">
        <v>8</v>
      </c>
      <c r="G5" s="103" t="s">
        <v>9</v>
      </c>
      <c r="H5" s="104" t="s">
        <v>10</v>
      </c>
      <c r="I5" s="105" t="s">
        <v>11</v>
      </c>
      <c r="J5" s="106" t="s">
        <v>89</v>
      </c>
      <c r="K5"/>
      <c r="L5"/>
      <c r="M5"/>
      <c r="N5"/>
      <c r="O5"/>
      <c r="P5"/>
      <c r="Q5"/>
      <c r="R5"/>
      <c r="S5"/>
      <c r="T5"/>
      <c r="U5"/>
      <c r="V5"/>
      <c r="W5"/>
      <c r="X5"/>
      <c r="Y5"/>
      <c r="Z5"/>
      <c r="AA5"/>
      <c r="AB5"/>
      <c r="AC5"/>
      <c r="AD5"/>
      <c r="AE5"/>
      <c r="AF5"/>
      <c r="AG5"/>
      <c r="AH5"/>
      <c r="AI5"/>
      <c r="AJ5"/>
      <c r="AK5"/>
      <c r="AL5"/>
      <c r="AM5"/>
      <c r="AN5"/>
      <c r="AO5"/>
      <c r="AP5"/>
      <c r="AQ5"/>
      <c r="AR5"/>
      <c r="AS5"/>
      <c r="AT5"/>
      <c r="AU5"/>
      <c r="AV5"/>
      <c r="AW5"/>
      <c r="AX5"/>
    </row>
    <row r="6" spans="1:50" s="107" customFormat="1">
      <c r="A6" s="87" t="s">
        <v>13</v>
      </c>
      <c r="B6" s="87"/>
      <c r="C6" s="88">
        <v>12.030999999999999</v>
      </c>
      <c r="D6" s="88">
        <v>5.1916000000000002</v>
      </c>
      <c r="E6" s="88">
        <v>17.2226</v>
      </c>
      <c r="F6" s="89">
        <v>4.8483000000000001</v>
      </c>
      <c r="G6" s="88">
        <v>22.070900000000002</v>
      </c>
      <c r="H6" s="90">
        <v>6963.81</v>
      </c>
      <c r="I6" s="91">
        <v>315.51998332646156</v>
      </c>
      <c r="J6" s="91">
        <v>33</v>
      </c>
      <c r="K6"/>
      <c r="L6"/>
      <c r="M6"/>
      <c r="N6"/>
      <c r="O6"/>
      <c r="P6"/>
      <c r="Q6"/>
      <c r="R6"/>
      <c r="S6"/>
      <c r="T6"/>
      <c r="U6"/>
      <c r="V6"/>
      <c r="W6"/>
      <c r="X6"/>
      <c r="Y6"/>
      <c r="Z6"/>
      <c r="AA6"/>
      <c r="AB6"/>
      <c r="AC6"/>
      <c r="AD6"/>
      <c r="AE6"/>
      <c r="AF6"/>
      <c r="AG6"/>
      <c r="AH6"/>
      <c r="AI6"/>
      <c r="AJ6"/>
      <c r="AK6"/>
      <c r="AL6"/>
      <c r="AM6"/>
      <c r="AN6"/>
      <c r="AO6"/>
      <c r="AP6"/>
      <c r="AQ6"/>
      <c r="AR6"/>
      <c r="AS6"/>
      <c r="AT6"/>
      <c r="AU6"/>
      <c r="AV6"/>
      <c r="AW6"/>
      <c r="AX6"/>
    </row>
    <row r="7" spans="1:50" s="107" customFormat="1">
      <c r="A7" s="115" t="s">
        <v>13</v>
      </c>
      <c r="B7" s="115"/>
      <c r="C7" s="116">
        <v>5</v>
      </c>
      <c r="D7" s="116">
        <v>3.1</v>
      </c>
      <c r="E7" s="116">
        <v>8.1</v>
      </c>
      <c r="F7" s="117">
        <v>0.75</v>
      </c>
      <c r="G7" s="116">
        <v>8.85</v>
      </c>
      <c r="H7" s="118">
        <v>714.74</v>
      </c>
      <c r="I7" s="119">
        <v>80.761581920903964</v>
      </c>
      <c r="J7" s="119">
        <v>9</v>
      </c>
      <c r="K7"/>
      <c r="L7"/>
      <c r="M7"/>
      <c r="N7"/>
      <c r="O7"/>
      <c r="P7"/>
      <c r="Q7"/>
      <c r="R7"/>
      <c r="S7"/>
      <c r="T7"/>
      <c r="U7"/>
      <c r="V7"/>
      <c r="W7"/>
      <c r="X7"/>
      <c r="Y7"/>
      <c r="Z7"/>
      <c r="AA7"/>
      <c r="AB7"/>
      <c r="AC7"/>
      <c r="AD7"/>
      <c r="AE7"/>
      <c r="AF7"/>
      <c r="AG7"/>
      <c r="AH7"/>
      <c r="AI7"/>
      <c r="AJ7"/>
      <c r="AK7"/>
      <c r="AL7"/>
      <c r="AM7"/>
      <c r="AN7"/>
      <c r="AO7"/>
      <c r="AP7"/>
      <c r="AQ7"/>
      <c r="AR7"/>
      <c r="AS7"/>
      <c r="AT7"/>
      <c r="AU7"/>
      <c r="AV7"/>
      <c r="AW7"/>
      <c r="AX7"/>
    </row>
    <row r="8" spans="1:50" s="107" customFormat="1">
      <c r="A8" s="87"/>
      <c r="B8" s="87"/>
      <c r="C8" s="88">
        <f>SUM(C6:C7)</f>
        <v>17.030999999999999</v>
      </c>
      <c r="D8" s="88">
        <f t="shared" ref="D8:J8" si="0">SUM(D6:D7)</f>
        <v>8.2916000000000007</v>
      </c>
      <c r="E8" s="88">
        <f t="shared" si="0"/>
        <v>25.322600000000001</v>
      </c>
      <c r="F8" s="88">
        <f t="shared" si="0"/>
        <v>5.5983000000000001</v>
      </c>
      <c r="G8" s="88">
        <f t="shared" si="0"/>
        <v>30.920900000000003</v>
      </c>
      <c r="H8" s="88">
        <f t="shared" si="0"/>
        <v>7678.55</v>
      </c>
      <c r="I8" s="88">
        <f>H8/G8</f>
        <v>248.3288002613119</v>
      </c>
      <c r="J8" s="88">
        <f t="shared" si="0"/>
        <v>42</v>
      </c>
      <c r="K8"/>
      <c r="L8"/>
      <c r="M8"/>
      <c r="N8"/>
      <c r="O8"/>
      <c r="P8"/>
      <c r="Q8"/>
      <c r="R8"/>
      <c r="S8"/>
      <c r="T8"/>
      <c r="U8"/>
      <c r="V8"/>
      <c r="W8"/>
      <c r="X8"/>
      <c r="Y8"/>
      <c r="Z8"/>
      <c r="AA8"/>
      <c r="AB8"/>
      <c r="AC8"/>
      <c r="AD8"/>
      <c r="AE8"/>
      <c r="AF8"/>
      <c r="AG8"/>
      <c r="AH8"/>
      <c r="AI8"/>
      <c r="AJ8"/>
      <c r="AK8"/>
      <c r="AL8"/>
      <c r="AM8"/>
      <c r="AN8"/>
      <c r="AO8"/>
      <c r="AP8"/>
      <c r="AQ8"/>
      <c r="AR8"/>
      <c r="AS8"/>
      <c r="AT8"/>
      <c r="AU8"/>
      <c r="AV8"/>
      <c r="AW8"/>
      <c r="AX8"/>
    </row>
    <row r="9" spans="1:50" s="107" customFormat="1">
      <c r="A9" s="87"/>
      <c r="B9" s="87"/>
      <c r="C9" s="88"/>
      <c r="D9" s="88"/>
      <c r="E9" s="88"/>
      <c r="F9" s="89"/>
      <c r="G9" s="88"/>
      <c r="H9" s="90"/>
      <c r="I9" s="91"/>
      <c r="J9" s="91"/>
      <c r="K9"/>
      <c r="L9"/>
      <c r="M9"/>
      <c r="N9"/>
      <c r="O9"/>
      <c r="P9"/>
      <c r="Q9"/>
      <c r="R9"/>
      <c r="S9"/>
      <c r="T9"/>
      <c r="U9"/>
      <c r="V9"/>
      <c r="W9"/>
      <c r="X9"/>
      <c r="Y9"/>
      <c r="Z9"/>
      <c r="AA9"/>
      <c r="AB9"/>
      <c r="AC9"/>
      <c r="AD9"/>
      <c r="AE9"/>
      <c r="AF9"/>
      <c r="AG9"/>
      <c r="AH9"/>
      <c r="AI9"/>
      <c r="AJ9"/>
      <c r="AK9"/>
      <c r="AL9"/>
      <c r="AM9"/>
      <c r="AN9"/>
      <c r="AO9"/>
      <c r="AP9"/>
      <c r="AQ9"/>
      <c r="AR9"/>
      <c r="AS9"/>
      <c r="AT9"/>
      <c r="AU9"/>
      <c r="AV9"/>
      <c r="AW9"/>
      <c r="AX9"/>
    </row>
    <row r="10" spans="1:50" s="107" customFormat="1">
      <c r="A10" s="87"/>
      <c r="B10" s="87"/>
      <c r="C10" s="88"/>
      <c r="D10" s="88"/>
      <c r="E10" s="88"/>
      <c r="F10" s="89"/>
      <c r="G10" s="88"/>
      <c r="H10" s="90"/>
      <c r="I10" s="91"/>
      <c r="J10" s="9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row>
    <row r="11" spans="1:50" s="107" customFormat="1">
      <c r="A11" s="87"/>
      <c r="B11" s="87"/>
      <c r="C11" s="88"/>
      <c r="D11" s="88"/>
      <c r="E11" s="88"/>
      <c r="F11" s="89"/>
      <c r="G11" s="88"/>
      <c r="H11" s="90"/>
      <c r="I11" s="91"/>
      <c r="J11" s="9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1:50" s="107" customFormat="1">
      <c r="A12" s="87" t="s">
        <v>17</v>
      </c>
      <c r="B12" s="87"/>
      <c r="C12" s="88">
        <v>7.1032000000000002</v>
      </c>
      <c r="D12" s="88"/>
      <c r="E12" s="88">
        <v>7.1032000000000002</v>
      </c>
      <c r="F12" s="89">
        <v>2.75</v>
      </c>
      <c r="G12" s="88">
        <v>9.8532000000000011</v>
      </c>
      <c r="H12" s="90">
        <v>1935.2234000000001</v>
      </c>
      <c r="I12" s="91">
        <v>196.40557382373237</v>
      </c>
      <c r="J12" s="91">
        <v>13</v>
      </c>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1:50" s="107" customFormat="1">
      <c r="A13" s="115" t="s">
        <v>17</v>
      </c>
      <c r="B13" s="115"/>
      <c r="C13" s="116">
        <v>13.962</v>
      </c>
      <c r="D13" s="116"/>
      <c r="E13" s="116">
        <v>13.962</v>
      </c>
      <c r="F13" s="117">
        <v>1.5</v>
      </c>
      <c r="G13" s="116">
        <v>15.462</v>
      </c>
      <c r="H13" s="118">
        <v>1909.5213000000001</v>
      </c>
      <c r="I13" s="119">
        <v>123.49769111369811</v>
      </c>
      <c r="J13" s="119">
        <v>14</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1:50" s="107" customFormat="1">
      <c r="A14" s="87"/>
      <c r="B14" s="87"/>
      <c r="C14" s="88">
        <f>SUM(C12:C13)</f>
        <v>21.065200000000001</v>
      </c>
      <c r="D14" s="88">
        <f t="shared" ref="D14:J14" si="1">SUM(D12:D13)</f>
        <v>0</v>
      </c>
      <c r="E14" s="88">
        <f t="shared" si="1"/>
        <v>21.065200000000001</v>
      </c>
      <c r="F14" s="88">
        <f t="shared" si="1"/>
        <v>4.25</v>
      </c>
      <c r="G14" s="88">
        <f t="shared" si="1"/>
        <v>25.315200000000001</v>
      </c>
      <c r="H14" s="88">
        <f t="shared" si="1"/>
        <v>3844.7447000000002</v>
      </c>
      <c r="I14" s="88">
        <f>H14/G14</f>
        <v>151.87494864745292</v>
      </c>
      <c r="J14" s="88">
        <f t="shared" si="1"/>
        <v>27</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s="107" customFormat="1">
      <c r="A15" s="87"/>
      <c r="B15" s="87"/>
      <c r="C15" s="88"/>
      <c r="D15" s="88"/>
      <c r="E15" s="88"/>
      <c r="F15" s="89"/>
      <c r="G15" s="88"/>
      <c r="H15" s="90"/>
      <c r="I15" s="91"/>
      <c r="J15" s="91"/>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1:50" s="107" customFormat="1">
      <c r="A16" s="87"/>
      <c r="B16" s="87"/>
      <c r="C16" s="88"/>
      <c r="D16" s="88"/>
      <c r="E16" s="88"/>
      <c r="F16" s="89"/>
      <c r="G16" s="88"/>
      <c r="H16" s="90"/>
      <c r="I16" s="91"/>
      <c r="J16" s="91"/>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107" customFormat="1">
      <c r="A17" s="87" t="s">
        <v>18</v>
      </c>
      <c r="B17" s="87"/>
      <c r="C17" s="88">
        <v>2.2578999999999998</v>
      </c>
      <c r="D17" s="88"/>
      <c r="E17" s="88">
        <v>2.2578999999999998</v>
      </c>
      <c r="F17" s="89"/>
      <c r="G17" s="88">
        <v>2.2578999999999998</v>
      </c>
      <c r="H17" s="90">
        <v>3014.7049999999999</v>
      </c>
      <c r="I17" s="91">
        <v>1335.1809203241951</v>
      </c>
      <c r="J17" s="91">
        <v>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107" customFormat="1">
      <c r="A18" s="115" t="s">
        <v>18</v>
      </c>
      <c r="B18" s="115"/>
      <c r="C18" s="116">
        <v>19.7</v>
      </c>
      <c r="D18" s="116">
        <v>4</v>
      </c>
      <c r="E18" s="116">
        <v>23.7</v>
      </c>
      <c r="F18" s="117">
        <v>29.0838</v>
      </c>
      <c r="G18" s="116">
        <v>52.783799999999999</v>
      </c>
      <c r="H18" s="118">
        <v>7456.7156999999997</v>
      </c>
      <c r="I18" s="119">
        <v>141.26902004023961</v>
      </c>
      <c r="J18" s="119">
        <v>24</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s="107" customFormat="1">
      <c r="A19" s="87"/>
      <c r="B19" s="87"/>
      <c r="C19" s="88">
        <f>SUM(C17:C18)</f>
        <v>21.957899999999999</v>
      </c>
      <c r="D19" s="88">
        <f t="shared" ref="D19:J19" si="2">SUM(D17:D18)</f>
        <v>4</v>
      </c>
      <c r="E19" s="88">
        <f t="shared" si="2"/>
        <v>25.957899999999999</v>
      </c>
      <c r="F19" s="88">
        <f t="shared" si="2"/>
        <v>29.0838</v>
      </c>
      <c r="G19" s="88">
        <f t="shared" si="2"/>
        <v>55.041699999999999</v>
      </c>
      <c r="H19" s="88">
        <f t="shared" si="2"/>
        <v>10471.420699999999</v>
      </c>
      <c r="I19" s="88">
        <f>H19/G19</f>
        <v>190.24522680077104</v>
      </c>
      <c r="J19" s="88">
        <f t="shared" si="2"/>
        <v>29</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s="107" customFormat="1">
      <c r="A20" s="87"/>
      <c r="B20" s="87"/>
      <c r="C20" s="88"/>
      <c r="D20" s="88"/>
      <c r="E20" s="88"/>
      <c r="F20" s="89"/>
      <c r="G20" s="88"/>
      <c r="H20" s="90"/>
      <c r="I20" s="91"/>
      <c r="J20" s="91"/>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s="107" customFormat="1">
      <c r="A21" s="87"/>
      <c r="B21" s="87"/>
      <c r="C21" s="88"/>
      <c r="D21" s="88"/>
      <c r="E21" s="88"/>
      <c r="F21" s="89"/>
      <c r="G21" s="88"/>
      <c r="H21" s="90"/>
      <c r="I21" s="91"/>
      <c r="J21" s="9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row>
    <row r="22" spans="1:50" s="107" customFormat="1">
      <c r="A22" s="87"/>
      <c r="B22" s="87"/>
      <c r="C22" s="88"/>
      <c r="D22" s="88"/>
      <c r="E22" s="88"/>
      <c r="F22" s="89"/>
      <c r="G22" s="88"/>
      <c r="H22" s="90"/>
      <c r="I22" s="91"/>
      <c r="J22" s="91"/>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row>
    <row r="23" spans="1:50" s="107" customFormat="1">
      <c r="A23" s="87" t="s">
        <v>19</v>
      </c>
      <c r="B23" s="87"/>
      <c r="C23" s="88">
        <v>9.6832999999999991</v>
      </c>
      <c r="D23" s="88">
        <v>5.4196999999999997</v>
      </c>
      <c r="E23" s="88">
        <v>15.102999999999998</v>
      </c>
      <c r="F23" s="89">
        <v>10.5</v>
      </c>
      <c r="G23" s="88">
        <v>25.602999999999998</v>
      </c>
      <c r="H23" s="90">
        <v>6146.76</v>
      </c>
      <c r="I23" s="91">
        <v>240.07967816271534</v>
      </c>
      <c r="J23" s="91">
        <v>33</v>
      </c>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07" customFormat="1">
      <c r="A24" s="115" t="s">
        <v>19</v>
      </c>
      <c r="B24" s="115"/>
      <c r="C24" s="116">
        <v>14</v>
      </c>
      <c r="D24" s="116">
        <v>1.55</v>
      </c>
      <c r="E24" s="116">
        <v>15.55</v>
      </c>
      <c r="F24" s="117">
        <v>16.25</v>
      </c>
      <c r="G24" s="116">
        <v>31.8</v>
      </c>
      <c r="H24" s="118">
        <v>10464.24</v>
      </c>
      <c r="I24" s="119">
        <v>329.06415094339621</v>
      </c>
      <c r="J24" s="119">
        <v>18</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107" customFormat="1">
      <c r="A25" s="87"/>
      <c r="B25" s="87"/>
      <c r="C25" s="88">
        <f>SUM(C23:C24)</f>
        <v>23.683299999999999</v>
      </c>
      <c r="D25" s="88">
        <f t="shared" ref="D25:J25" si="3">SUM(D23:D24)</f>
        <v>6.9696999999999996</v>
      </c>
      <c r="E25" s="88">
        <f t="shared" si="3"/>
        <v>30.652999999999999</v>
      </c>
      <c r="F25" s="88">
        <f t="shared" si="3"/>
        <v>26.75</v>
      </c>
      <c r="G25" s="88">
        <f t="shared" si="3"/>
        <v>57.402999999999999</v>
      </c>
      <c r="H25" s="88">
        <f t="shared" si="3"/>
        <v>16611</v>
      </c>
      <c r="I25" s="88">
        <f>H25/G25</f>
        <v>289.37511976725955</v>
      </c>
      <c r="J25" s="88">
        <f t="shared" si="3"/>
        <v>51</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107" customFormat="1">
      <c r="A26" s="87"/>
      <c r="B26" s="87"/>
      <c r="C26" s="88"/>
      <c r="D26" s="88"/>
      <c r="E26" s="88"/>
      <c r="F26" s="89"/>
      <c r="G26" s="88"/>
      <c r="H26" s="90"/>
      <c r="I26" s="91"/>
      <c r="J26" s="91"/>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107" customFormat="1">
      <c r="A27" s="87"/>
      <c r="B27" s="87"/>
      <c r="C27" s="88"/>
      <c r="D27" s="88"/>
      <c r="E27" s="88"/>
      <c r="F27" s="89"/>
      <c r="G27" s="88"/>
      <c r="H27" s="90"/>
      <c r="I27" s="91"/>
      <c r="J27" s="91"/>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107" customFormat="1">
      <c r="A28" s="87" t="s">
        <v>21</v>
      </c>
      <c r="B28" s="87"/>
      <c r="C28" s="88">
        <v>5.4927999999999999</v>
      </c>
      <c r="D28" s="88">
        <v>2.4914000000000001</v>
      </c>
      <c r="E28" s="88">
        <v>7.9841999999999995</v>
      </c>
      <c r="F28" s="89"/>
      <c r="G28" s="88">
        <v>7.9841999999999995</v>
      </c>
      <c r="H28" s="90">
        <v>3652.45</v>
      </c>
      <c r="I28" s="91">
        <v>457.45973297262094</v>
      </c>
      <c r="J28" s="91">
        <v>20</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107" customFormat="1">
      <c r="A29" s="115" t="s">
        <v>21</v>
      </c>
      <c r="B29" s="115"/>
      <c r="C29" s="116">
        <v>11.6723</v>
      </c>
      <c r="D29" s="116">
        <v>8.75</v>
      </c>
      <c r="E29" s="116">
        <v>20.4223</v>
      </c>
      <c r="F29" s="117"/>
      <c r="G29" s="116">
        <v>20.4223</v>
      </c>
      <c r="H29" s="118">
        <v>4047.6686</v>
      </c>
      <c r="I29" s="119">
        <v>198.19846932030183</v>
      </c>
      <c r="J29" s="119">
        <v>26</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107" customFormat="1">
      <c r="A30" s="87"/>
      <c r="B30" s="87"/>
      <c r="C30" s="88">
        <f>SUM(C28:C29)</f>
        <v>17.165099999999999</v>
      </c>
      <c r="D30" s="88">
        <f t="shared" ref="D30:J30" si="4">SUM(D28:D29)</f>
        <v>11.241400000000001</v>
      </c>
      <c r="E30" s="88">
        <f t="shared" si="4"/>
        <v>28.406500000000001</v>
      </c>
      <c r="F30" s="88">
        <f t="shared" si="4"/>
        <v>0</v>
      </c>
      <c r="G30" s="88">
        <f t="shared" si="4"/>
        <v>28.406500000000001</v>
      </c>
      <c r="H30" s="88">
        <f t="shared" si="4"/>
        <v>7700.1185999999998</v>
      </c>
      <c r="I30" s="88">
        <f>H30/G30</f>
        <v>271.06889620333374</v>
      </c>
      <c r="J30" s="88">
        <f t="shared" si="4"/>
        <v>46</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s="107" customFormat="1">
      <c r="A31" s="87"/>
      <c r="B31" s="87"/>
      <c r="C31" s="88"/>
      <c r="D31" s="88"/>
      <c r="E31" s="88"/>
      <c r="F31" s="89"/>
      <c r="G31" s="88"/>
      <c r="H31" s="90"/>
      <c r="I31" s="91"/>
      <c r="J31" s="9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107" customFormat="1">
      <c r="A32" s="87"/>
      <c r="B32" s="87"/>
      <c r="C32" s="88"/>
      <c r="D32" s="88"/>
      <c r="E32" s="88"/>
      <c r="F32" s="89"/>
      <c r="G32" s="88"/>
      <c r="H32" s="90"/>
      <c r="I32" s="91"/>
      <c r="J32" s="91"/>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s="107" customFormat="1">
      <c r="A33" s="87" t="s">
        <v>22</v>
      </c>
      <c r="B33" s="87"/>
      <c r="C33" s="88">
        <v>5.5008999999999997</v>
      </c>
      <c r="D33" s="88">
        <v>1.1499999999999999</v>
      </c>
      <c r="E33" s="88">
        <v>6.6509</v>
      </c>
      <c r="F33" s="89"/>
      <c r="G33" s="88">
        <v>6.6509</v>
      </c>
      <c r="H33" s="90">
        <v>2319.3253</v>
      </c>
      <c r="I33" s="91">
        <v>348.72352613931946</v>
      </c>
      <c r="J33" s="91">
        <v>13</v>
      </c>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s="107" customFormat="1">
      <c r="A34" s="115" t="s">
        <v>22</v>
      </c>
      <c r="B34" s="115"/>
      <c r="C34" s="116">
        <v>13.4649</v>
      </c>
      <c r="D34" s="116">
        <v>3.75</v>
      </c>
      <c r="E34" s="116">
        <v>17.2149</v>
      </c>
      <c r="F34" s="117">
        <v>2.625</v>
      </c>
      <c r="G34" s="116">
        <v>19.8399</v>
      </c>
      <c r="H34" s="118">
        <v>5130.3698000000004</v>
      </c>
      <c r="I34" s="119">
        <v>258.58849086940967</v>
      </c>
      <c r="J34" s="119">
        <v>19</v>
      </c>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s="107" customFormat="1">
      <c r="A35" s="87"/>
      <c r="B35" s="87"/>
      <c r="C35" s="88">
        <f>SUM(C33:C34)</f>
        <v>18.965800000000002</v>
      </c>
      <c r="D35" s="88">
        <f t="shared" ref="D35:J35" si="5">SUM(D33:D34)</f>
        <v>4.9000000000000004</v>
      </c>
      <c r="E35" s="88">
        <f t="shared" si="5"/>
        <v>23.8658</v>
      </c>
      <c r="F35" s="88">
        <f t="shared" si="5"/>
        <v>2.625</v>
      </c>
      <c r="G35" s="88">
        <f t="shared" si="5"/>
        <v>26.4908</v>
      </c>
      <c r="H35" s="88">
        <f t="shared" si="5"/>
        <v>7449.6951000000008</v>
      </c>
      <c r="I35" s="88">
        <f>H35/G35</f>
        <v>281.21820028085227</v>
      </c>
      <c r="J35" s="88">
        <f t="shared" si="5"/>
        <v>32</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s="107" customFormat="1">
      <c r="A36" s="87"/>
      <c r="B36" s="87"/>
      <c r="C36" s="88"/>
      <c r="D36" s="88"/>
      <c r="E36" s="88"/>
      <c r="F36" s="89"/>
      <c r="G36" s="88"/>
      <c r="H36" s="90"/>
      <c r="I36" s="91"/>
      <c r="J36" s="91"/>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107" customFormat="1">
      <c r="A37" s="87"/>
      <c r="B37" s="87"/>
      <c r="C37" s="88"/>
      <c r="D37" s="88"/>
      <c r="E37" s="88"/>
      <c r="F37" s="89"/>
      <c r="G37" s="88"/>
      <c r="H37" s="90"/>
      <c r="I37" s="91"/>
      <c r="J37" s="9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s="107" customFormat="1">
      <c r="A38" s="87" t="s">
        <v>26</v>
      </c>
      <c r="B38" s="87"/>
      <c r="C38" s="88">
        <v>2.8944000000000001</v>
      </c>
      <c r="D38" s="88"/>
      <c r="E38" s="88">
        <v>2.8944000000000001</v>
      </c>
      <c r="F38" s="89"/>
      <c r="G38" s="88">
        <v>2.8944000000000001</v>
      </c>
      <c r="H38" s="90">
        <v>1674.2505000000001</v>
      </c>
      <c r="I38" s="91">
        <v>578.44475538971813</v>
      </c>
      <c r="J38" s="91">
        <v>9</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s="113" customFormat="1">
      <c r="A39" s="108" t="s">
        <v>26</v>
      </c>
      <c r="B39" s="108"/>
      <c r="C39" s="109">
        <v>12.7478</v>
      </c>
      <c r="D39" s="109">
        <v>4.875</v>
      </c>
      <c r="E39" s="109">
        <v>17.622799999999998</v>
      </c>
      <c r="F39" s="110">
        <v>6.0080999999999998</v>
      </c>
      <c r="G39" s="109">
        <v>23.630899999999997</v>
      </c>
      <c r="H39" s="111">
        <v>8164.5275000000001</v>
      </c>
      <c r="I39" s="112">
        <v>345.50218146579272</v>
      </c>
      <c r="J39" s="112">
        <v>22</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c r="C40" s="88">
        <f>SUM(C38:C39)</f>
        <v>15.642199999999999</v>
      </c>
      <c r="D40" s="88">
        <f t="shared" ref="D40:J40" si="6">SUM(D38:D39)</f>
        <v>4.875</v>
      </c>
      <c r="E40" s="88">
        <f t="shared" si="6"/>
        <v>20.517199999999999</v>
      </c>
      <c r="F40" s="88">
        <f t="shared" si="6"/>
        <v>6.0080999999999998</v>
      </c>
      <c r="G40" s="88">
        <f t="shared" si="6"/>
        <v>26.525299999999998</v>
      </c>
      <c r="H40" s="88">
        <f t="shared" si="6"/>
        <v>9838.7780000000002</v>
      </c>
      <c r="I40" s="88">
        <f>H40/G40</f>
        <v>370.9205173928288</v>
      </c>
      <c r="J40" s="88">
        <f t="shared" si="6"/>
        <v>31</v>
      </c>
    </row>
    <row r="43" spans="1:50" customFormat="1"/>
    <row r="44" spans="1:50" customFormat="1"/>
    <row r="45" spans="1:50" customFormat="1"/>
    <row r="46" spans="1:50" customFormat="1"/>
    <row r="47" spans="1:50" customFormat="1"/>
    <row r="48" spans="1:50" customFormat="1"/>
    <row r="52" spans="1:50" s="107" customFormat="1">
      <c r="A52" s="87"/>
      <c r="B52" s="87"/>
      <c r="C52" s="88"/>
      <c r="D52" s="88"/>
      <c r="E52" s="88"/>
      <c r="F52" s="89"/>
      <c r="G52" s="88"/>
      <c r="H52" s="90"/>
      <c r="I52" s="91"/>
      <c r="J52" s="91"/>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row>
    <row r="53" spans="1:50" s="107" customFormat="1">
      <c r="A53" s="87"/>
      <c r="B53" s="87"/>
      <c r="C53" s="88"/>
      <c r="D53" s="88"/>
      <c r="E53" s="88"/>
      <c r="F53" s="89"/>
      <c r="G53" s="88"/>
      <c r="H53" s="90"/>
      <c r="I53" s="91"/>
      <c r="J53" s="91"/>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row>
    <row r="54" spans="1:50" s="107" customFormat="1">
      <c r="A54" s="87"/>
      <c r="B54" s="87"/>
      <c r="C54" s="88"/>
      <c r="D54" s="88"/>
      <c r="E54" s="88"/>
      <c r="F54" s="89"/>
      <c r="G54" s="88"/>
      <c r="H54" s="90"/>
      <c r="I54" s="91"/>
      <c r="J54" s="91"/>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row>
    <row r="55" spans="1:50" s="107" customFormat="1">
      <c r="A55" s="87"/>
      <c r="B55" s="87"/>
      <c r="C55" s="88"/>
      <c r="D55" s="88"/>
      <c r="E55" s="88"/>
      <c r="F55" s="89"/>
      <c r="G55" s="88"/>
      <c r="H55" s="90"/>
      <c r="I55" s="91"/>
      <c r="J55" s="91"/>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row>
  </sheetData>
  <mergeCells count="1">
    <mergeCell ref="C4:G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Departmental Data Instruction</vt:lpstr>
      <vt:lpstr>Joint Dept check</vt:lpstr>
      <vt:lpstr>'Departmental Data Instruction'!Print_Area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Dobbe, Nadine K [I RES]</dc:creator>
  <cp:lastModifiedBy>Zunkel, Karen A [SVPP]</cp:lastModifiedBy>
  <cp:lastPrinted>2020-07-23T19:14:51Z</cp:lastPrinted>
  <dcterms:created xsi:type="dcterms:W3CDTF">2014-01-15T16:21:44Z</dcterms:created>
  <dcterms:modified xsi:type="dcterms:W3CDTF">2020-07-31T13:04:37Z</dcterms:modified>
</cp:coreProperties>
</file>